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2510" windowHeight="8460" firstSheet="3" activeTab="5"/>
  </bookViews>
  <sheets>
    <sheet name="Simulated data" sheetId="1" r:id="rId1"/>
    <sheet name="Example 1" sheetId="2" r:id="rId2"/>
    <sheet name="Example 2" sheetId="3" r:id="rId3"/>
    <sheet name="Example 3" sheetId="4" r:id="rId4"/>
    <sheet name="Ex1 Series Equiv.Test" sheetId="5" r:id="rId5"/>
    <sheet name="Ex1 Series Equiv.Test Welch" sheetId="6" r:id="rId6"/>
    <sheet name="Ex1 EquivBalthasar" sheetId="7" r:id="rId7"/>
    <sheet name="Ex1 Schuirmann" sheetId="8" r:id="rId8"/>
    <sheet name="Ex2 Series Equiv.Test Welch" sheetId="9" r:id="rId9"/>
    <sheet name="Ex2 Schuirmann" sheetId="10" r:id="rId10"/>
    <sheet name="Ex3 Series Equiv.Test Welch" sheetId="11" r:id="rId11"/>
    <sheet name="Ex3 Schuirmann" sheetId="12" r:id="rId12"/>
  </sheets>
  <definedNames>
    <definedName name="_xlfn.STDEV.S" hidden="1">#NAME?</definedName>
    <definedName name="_xlfn.T.INV.2T" hidden="1">#NAME?</definedName>
    <definedName name="_xlfn.VAR.S" hidden="1">#NAME?</definedName>
  </definedNames>
  <calcPr fullCalcOnLoad="1"/>
</workbook>
</file>

<file path=xl/comments1.xml><?xml version="1.0" encoding="utf-8"?>
<comments xmlns="http://schemas.openxmlformats.org/spreadsheetml/2006/main">
  <authors>
    <author>Prof.Dr. Hermann W?tzig</author>
    <author>Prof. Dr. Hermann W?</author>
  </authors>
  <commentList>
    <comment ref="F11" authorId="0">
      <text>
        <r>
          <rPr>
            <b/>
            <sz val="9"/>
            <rFont val="Tahoma"/>
            <family val="2"/>
          </rPr>
          <t>Prof.Dr. Hermann Wätzig:</t>
        </r>
        <r>
          <rPr>
            <sz val="9"/>
            <rFont val="Tahoma"/>
            <family val="2"/>
          </rPr>
          <t xml:space="preserve">
Berechn mit default value f s(MW)</t>
        </r>
      </text>
    </comment>
    <comment ref="F13" authorId="0">
      <text>
        <r>
          <rPr>
            <b/>
            <sz val="9"/>
            <rFont val="Tahoma"/>
            <family val="2"/>
          </rPr>
          <t>Prof.Dr. Hermann Wätzig:</t>
        </r>
        <r>
          <rPr>
            <sz val="9"/>
            <rFont val="Tahoma"/>
            <family val="2"/>
          </rPr>
          <t xml:space="preserve">
Da Formel F6 eine Darstellung von s(MW) * Skalierungsfaktor ist</t>
        </r>
      </text>
    </comment>
    <comment ref="F8" authorId="1">
      <text>
        <r>
          <rPr>
            <b/>
            <sz val="9"/>
            <rFont val="Tahoma"/>
            <family val="0"/>
          </rPr>
          <t>Prof. Dr. Hermann Wä:</t>
        </r>
        <r>
          <rPr>
            <sz val="9"/>
            <rFont val="Tahoma"/>
            <family val="0"/>
          </rPr>
          <t xml:space="preserve">
square root term only</t>
        </r>
      </text>
    </comment>
  </commentList>
</comments>
</file>

<file path=xl/comments2.xml><?xml version="1.0" encoding="utf-8"?>
<comments xmlns="http://schemas.openxmlformats.org/spreadsheetml/2006/main">
  <authors>
    <author>Prof. Dr. Hermann W?</author>
  </authors>
  <commentList>
    <comment ref="E43" authorId="0">
      <text>
        <r>
          <rPr>
            <b/>
            <sz val="9"/>
            <rFont val="Tahoma"/>
            <family val="0"/>
          </rPr>
          <t>Prof. Dr. Hermann Wä:</t>
        </r>
        <r>
          <rPr>
            <sz val="9"/>
            <rFont val="Tahoma"/>
            <family val="0"/>
          </rPr>
          <t xml:space="preserve">
square root term only</t>
        </r>
      </text>
    </comment>
  </commentList>
</comments>
</file>

<file path=xl/sharedStrings.xml><?xml version="1.0" encoding="utf-8"?>
<sst xmlns="http://schemas.openxmlformats.org/spreadsheetml/2006/main" count="467" uniqueCount="93">
  <si>
    <t>2a)</t>
  </si>
  <si>
    <t>Consider, if Absolute Limits are suitable</t>
  </si>
  <si>
    <t>Eq. 4-5:</t>
  </si>
  <si>
    <t>3)</t>
  </si>
  <si>
    <t>%AL, Eq. 4-8</t>
  </si>
  <si>
    <t>(in %)</t>
  </si>
  <si>
    <t>Simul</t>
  </si>
  <si>
    <t>true mean</t>
  </si>
  <si>
    <t>trueSD</t>
  </si>
  <si>
    <t>Lab1</t>
  </si>
  <si>
    <t>Lab2</t>
  </si>
  <si>
    <t>n=6 each</t>
  </si>
  <si>
    <t>repeatability</t>
  </si>
  <si>
    <t>reproducibility</t>
  </si>
  <si>
    <t>s(MW)</t>
  </si>
  <si>
    <t>%AL</t>
  </si>
  <si>
    <t>f</t>
  </si>
  <si>
    <t>RSD</t>
  </si>
  <si>
    <t>MW</t>
  </si>
  <si>
    <t>A</t>
  </si>
  <si>
    <t>B</t>
  </si>
  <si>
    <t>C</t>
  </si>
  <si>
    <t>D</t>
  </si>
  <si>
    <t>SD</t>
  </si>
  <si>
    <t>ln</t>
  </si>
  <si>
    <t>t(1-alpha;v)</t>
  </si>
  <si>
    <t>LCL</t>
  </si>
  <si>
    <t>UCL</t>
  </si>
  <si>
    <t>LCL(ln)</t>
  </si>
  <si>
    <t>UCL(ln)</t>
  </si>
  <si>
    <t>1 A/C</t>
  </si>
  <si>
    <t>2 A/C</t>
  </si>
  <si>
    <t>3 A/C</t>
  </si>
  <si>
    <t>4 A/C</t>
  </si>
  <si>
    <t>5 A/C</t>
  </si>
  <si>
    <t>6 A/C</t>
  </si>
  <si>
    <t>7 B /D</t>
  </si>
  <si>
    <t>8 B /D</t>
  </si>
  <si>
    <t>9 B /D</t>
  </si>
  <si>
    <t>10 B /D</t>
  </si>
  <si>
    <t>11 B /D</t>
  </si>
  <si>
    <t>12 B /D</t>
  </si>
  <si>
    <t>t(1-alpha;n-1)</t>
  </si>
  <si>
    <t>person</t>
  </si>
  <si>
    <t>date</t>
  </si>
  <si>
    <t>lab</t>
  </si>
  <si>
    <t xml:space="preserve">LC content (%) as is, API </t>
  </si>
  <si>
    <t>variance</t>
  </si>
  <si>
    <t>max. difference (Eq. 4-4)</t>
  </si>
  <si>
    <t>limit indiv. repeatab.</t>
  </si>
  <si>
    <t>SD MW all series</t>
  </si>
  <si>
    <t>variance MW 2nd lab only</t>
  </si>
  <si>
    <t>variance MW 1st lab only</t>
  </si>
  <si>
    <t>pooled variance</t>
  </si>
  <si>
    <t>SD corresp. to pooled variance</t>
  </si>
  <si>
    <t>Lab personell A and B from Lab 1, C and D from Lab 2. Estimation of Confidence intervals according to J.P.Balthasar. Bioequivalence and Bioequivalency Testing. American Journal of Pharmaceutical Education. Vol. 194-198 (1999)</t>
  </si>
  <si>
    <t>difference</t>
  </si>
  <si>
    <t>Calculation according to Schuirmann, D.J. 1987. "A Comparison of the Two One-Sided Tests Procedure and the Power Approach for Assessing the Equivalence of Average Bioavailability." J. Pharm. Biopharm., 15: 657-680. The variance was estimated from the "mean square error (Anova)".</t>
  </si>
  <si>
    <t>f (see Eq. 4-5)</t>
  </si>
  <si>
    <t>AL: set (see Ermer et al, 4.4.3, point 1)</t>
  </si>
  <si>
    <t>x</t>
  </si>
  <si>
    <t>y</t>
  </si>
  <si>
    <t>diagram data</t>
  </si>
  <si>
    <r>
      <t xml:space="preserve">Consider, if </t>
    </r>
    <r>
      <rPr>
        <b/>
        <sz val="10"/>
        <rFont val="Arial"/>
        <family val="2"/>
      </rPr>
      <t>Absolute Limits</t>
    </r>
    <r>
      <rPr>
        <sz val="10"/>
        <rFont val="Arial"/>
        <family val="0"/>
      </rPr>
      <t xml:space="preserve"> are suitable</t>
    </r>
  </si>
  <si>
    <t>((</t>
  </si>
  <si>
    <t>))</t>
  </si>
  <si>
    <t>Difference of lab means</t>
  </si>
  <si>
    <t>s</t>
  </si>
  <si>
    <t>For the case that the variance from the series are not equal: degrees of freedom where approximated by use the Welch- Satterthwaite-Approximation</t>
  </si>
  <si>
    <t>Difference between means of labors</t>
  </si>
  <si>
    <t>nominator</t>
  </si>
  <si>
    <t>denominator</t>
  </si>
  <si>
    <t xml:space="preserve">Standard deviation is </t>
  </si>
  <si>
    <t>where s estimated as MSE from Anova, n is number of measurements pro labor</t>
  </si>
  <si>
    <r>
      <t>For the case that the variances of all samples all equal, degrees of freedeom are n</t>
    </r>
    <r>
      <rPr>
        <vertAlign val="subscript"/>
        <sz val="10"/>
        <rFont val="Arial"/>
        <family val="2"/>
      </rPr>
      <t>x,1</t>
    </r>
    <r>
      <rPr>
        <sz val="10"/>
        <rFont val="Arial"/>
        <family val="2"/>
      </rPr>
      <t xml:space="preserve"> + n</t>
    </r>
    <r>
      <rPr>
        <vertAlign val="subscript"/>
        <sz val="10"/>
        <rFont val="Arial"/>
        <family val="2"/>
      </rPr>
      <t>x,2</t>
    </r>
    <r>
      <rPr>
        <sz val="10"/>
        <rFont val="Arial"/>
        <family val="2"/>
      </rPr>
      <t xml:space="preserve"> + n</t>
    </r>
    <r>
      <rPr>
        <vertAlign val="subscript"/>
        <sz val="10"/>
        <rFont val="Arial"/>
        <family val="2"/>
      </rPr>
      <t>y,1</t>
    </r>
    <r>
      <rPr>
        <sz val="10"/>
        <rFont val="Arial"/>
        <family val="2"/>
      </rPr>
      <t>+ n</t>
    </r>
    <r>
      <rPr>
        <vertAlign val="subscript"/>
        <sz val="10"/>
        <rFont val="Arial"/>
        <family val="2"/>
      </rPr>
      <t>y,2</t>
    </r>
    <r>
      <rPr>
        <sz val="10"/>
        <rFont val="Arial"/>
        <family val="2"/>
      </rPr>
      <t xml:space="preserve"> -4</t>
    </r>
  </si>
  <si>
    <t>difference of mean values</t>
  </si>
  <si>
    <t>quotient of mean values</t>
  </si>
  <si>
    <t>directly from data (difference of mean values)</t>
  </si>
  <si>
    <t>from log data (quotient of mean values)</t>
  </si>
  <si>
    <t>difference ln</t>
  </si>
  <si>
    <t>from log data ( quotient of mean values)</t>
  </si>
  <si>
    <t>directly from data (difference of mean vvalues)</t>
  </si>
  <si>
    <t xml:space="preserve">degrees of freedom </t>
  </si>
  <si>
    <t>degrees of freedom       (4-12)</t>
  </si>
  <si>
    <t>degrees of freedom</t>
  </si>
  <si>
    <t>s (4-11)</t>
  </si>
  <si>
    <t>difference (4-10)</t>
  </si>
  <si>
    <t>degrees of freedom      (4-12)</t>
  </si>
  <si>
    <t xml:space="preserve">       </t>
  </si>
  <si>
    <t xml:space="preserve">LCL </t>
  </si>
  <si>
    <t xml:space="preserve">UCL </t>
  </si>
  <si>
    <t>from log data (quotient of mean values; Eq. 4-9)</t>
  </si>
  <si>
    <t>from log data ( quotient of mean values; Eq. 4-9)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</si>
</sst>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.000"/>
    <numFmt numFmtId="189" formatCode="0.000"/>
    <numFmt numFmtId="190" formatCode="0.0000"/>
    <numFmt numFmtId="191" formatCode="0.00000"/>
    <numFmt numFmtId="192" formatCode="0.0000000"/>
    <numFmt numFmtId="193" formatCode="0.00000000"/>
    <numFmt numFmtId="194" formatCode="&quot;Tak&quot;;&quot;Tak&quot;;&quot;Nie&quot;"/>
    <numFmt numFmtId="195" formatCode="&quot;Prawda&quot;;&quot;Prawda&quot;;&quot;Fałsz&quot;"/>
    <numFmt numFmtId="196" formatCode="&quot;Włączone&quot;;&quot;Włączone&quot;;&quot;Wyłączone&quot;"/>
    <numFmt numFmtId="19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  <xf numFmtId="0" fontId="45" fillId="32" borderId="9" applyNumberFormat="0" applyAlignment="0" applyProtection="0"/>
  </cellStyleXfs>
  <cellXfs count="67">
    <xf numFmtId="0" fontId="0" fillId="0" borderId="0" xfId="0" applyAlignment="1">
      <alignment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190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0" fillId="0" borderId="0" xfId="0" applyFont="1" applyAlignment="1">
      <alignment/>
    </xf>
    <xf numFmtId="191" fontId="0" fillId="33" borderId="0" xfId="0" applyNumberFormat="1" applyFill="1" applyAlignment="1">
      <alignment/>
    </xf>
    <xf numFmtId="192" fontId="0" fillId="33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ill="1" applyAlignment="1">
      <alignment/>
    </xf>
    <xf numFmtId="0" fontId="46" fillId="0" borderId="0" xfId="0" applyFont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0" fillId="0" borderId="10" xfId="0" applyFont="1" applyBorder="1" applyAlignment="1">
      <alignment/>
    </xf>
    <xf numFmtId="190" fontId="0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48" applyFont="1">
      <alignment/>
      <protection/>
    </xf>
    <xf numFmtId="0" fontId="0" fillId="0" borderId="0" xfId="48">
      <alignment/>
      <protection/>
    </xf>
    <xf numFmtId="14" fontId="0" fillId="0" borderId="0" xfId="48" applyNumberFormat="1">
      <alignment/>
      <protection/>
    </xf>
    <xf numFmtId="0" fontId="0" fillId="0" borderId="0" xfId="48" applyFont="1">
      <alignment/>
      <protection/>
    </xf>
    <xf numFmtId="0" fontId="0" fillId="33" borderId="0" xfId="48" applyFill="1">
      <alignment/>
      <protection/>
    </xf>
    <xf numFmtId="190" fontId="0" fillId="33" borderId="0" xfId="48" applyNumberFormat="1" applyFill="1">
      <alignment/>
      <protection/>
    </xf>
    <xf numFmtId="2" fontId="0" fillId="0" borderId="0" xfId="48" applyNumberFormat="1">
      <alignment/>
      <protection/>
    </xf>
    <xf numFmtId="2" fontId="0" fillId="33" borderId="0" xfId="48" applyNumberFormat="1" applyFill="1">
      <alignment/>
      <protection/>
    </xf>
    <xf numFmtId="191" fontId="0" fillId="33" borderId="0" xfId="48" applyNumberFormat="1" applyFill="1">
      <alignment/>
      <protection/>
    </xf>
    <xf numFmtId="192" fontId="0" fillId="33" borderId="0" xfId="48" applyNumberFormat="1" applyFill="1">
      <alignment/>
      <protection/>
    </xf>
    <xf numFmtId="10" fontId="0" fillId="0" borderId="0" xfId="48" applyNumberFormat="1">
      <alignment/>
      <protection/>
    </xf>
    <xf numFmtId="10" fontId="0" fillId="33" borderId="0" xfId="48" applyNumberFormat="1" applyFill="1">
      <alignment/>
      <protection/>
    </xf>
    <xf numFmtId="0" fontId="0" fillId="0" borderId="0" xfId="48" applyFill="1">
      <alignment/>
      <protection/>
    </xf>
    <xf numFmtId="0" fontId="0" fillId="0" borderId="10" xfId="48" applyFont="1" applyBorder="1">
      <alignment/>
      <protection/>
    </xf>
    <xf numFmtId="190" fontId="0" fillId="0" borderId="0" xfId="48" applyNumberFormat="1" applyFont="1">
      <alignment/>
      <protection/>
    </xf>
    <xf numFmtId="0" fontId="0" fillId="33" borderId="0" xfId="48" applyFont="1" applyFill="1">
      <alignment/>
      <protection/>
    </xf>
    <xf numFmtId="0" fontId="0" fillId="0" borderId="10" xfId="48" applyBorder="1">
      <alignment/>
      <protection/>
    </xf>
    <xf numFmtId="0" fontId="0" fillId="33" borderId="10" xfId="48" applyFont="1" applyFill="1" applyBorder="1">
      <alignment/>
      <protection/>
    </xf>
    <xf numFmtId="0" fontId="1" fillId="0" borderId="0" xfId="48" applyFont="1">
      <alignment/>
      <protection/>
    </xf>
    <xf numFmtId="190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14" fontId="0" fillId="0" borderId="0" xfId="0" applyNumberFormat="1" applyFont="1" applyAlignment="1">
      <alignment/>
    </xf>
    <xf numFmtId="190" fontId="0" fillId="0" borderId="0" xfId="0" applyNumberFormat="1" applyFill="1" applyAlignment="1">
      <alignment/>
    </xf>
    <xf numFmtId="192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93" fontId="0" fillId="0" borderId="0" xfId="52" applyNumberFormat="1">
      <alignment/>
      <protection/>
    </xf>
    <xf numFmtId="0" fontId="0" fillId="0" borderId="0" xfId="52" applyNumberFormat="1">
      <alignment/>
      <protection/>
    </xf>
    <xf numFmtId="193" fontId="0" fillId="33" borderId="0" xfId="52" applyNumberFormat="1" applyFill="1">
      <alignment/>
      <protection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52" applyNumberFormat="1" applyFill="1">
      <alignment/>
      <protection/>
    </xf>
    <xf numFmtId="0" fontId="0" fillId="0" borderId="0" xfId="52" applyNumberFormat="1" applyFill="1">
      <alignment/>
      <protection/>
    </xf>
    <xf numFmtId="0" fontId="0" fillId="33" borderId="10" xfId="48" applyFill="1" applyBorder="1">
      <alignment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rmalny 2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Zelle überprüfen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375"/>
          <c:w val="0.69625"/>
          <c:h val="0.92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'Simulated data'!$M$29:$M$34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val>
            <c:numRef>
              <c:f>'Simulated data'!$N$29:$N$34</c:f>
              <c:numCache/>
            </c:numRef>
          </c:val>
          <c:smooth val="0"/>
        </c:ser>
        <c:marker val="1"/>
        <c:axId val="29186048"/>
        <c:axId val="61347841"/>
      </c:lineChart>
      <c:catAx>
        <c:axId val="2918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47841"/>
        <c:crosses val="autoZero"/>
        <c:auto val="0"/>
        <c:lblOffset val="100"/>
        <c:tickLblSkip val="1"/>
        <c:noMultiLvlLbl val="0"/>
      </c:catAx>
      <c:valAx>
        <c:axId val="61347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86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5"/>
          <c:y val="0.40525"/>
          <c:w val="0.2545"/>
          <c:h val="0.1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"/>
          <c:w val="0.652"/>
          <c:h val="0.96075"/>
        </c:manualLayout>
      </c:layout>
      <c:scatterChart>
        <c:scatterStyle val="lineMarker"/>
        <c:varyColors val="0"/>
        <c:ser>
          <c:idx val="1"/>
          <c:order val="0"/>
          <c:tx>
            <c:v>confidence interval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'Ex2 Schuirmann'!$G$43:$H$43</c:f>
              <c:numCache/>
            </c:numRef>
          </c:xVal>
          <c:yVal>
            <c:numRef>
              <c:f>'Ex2 Schuirmann'!$G$44:$H$44</c:f>
              <c:numCache/>
            </c:numRef>
          </c:yVal>
          <c:smooth val="0"/>
        </c:ser>
        <c:ser>
          <c:idx val="0"/>
          <c:order val="1"/>
          <c:tx>
            <c:v>acceptance interval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'Ex2 Schuirmann'!$E$43:$F$43</c:f>
              <c:numCache/>
            </c:numRef>
          </c:xVal>
          <c:yVal>
            <c:numRef>
              <c:f>'Ex2 Schuirmann'!$E$44:$F$44</c:f>
              <c:numCache/>
            </c:numRef>
          </c:yVal>
          <c:smooth val="0"/>
        </c:ser>
        <c:axId val="51843290"/>
        <c:axId val="63936427"/>
      </c:scatterChart>
      <c:valAx>
        <c:axId val="51843290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36427"/>
        <c:crosses val="autoZero"/>
        <c:crossBetween val="midCat"/>
        <c:dispUnits/>
        <c:majorUnit val="1"/>
        <c:minorUnit val="0.4"/>
      </c:valAx>
      <c:valAx>
        <c:axId val="63936427"/>
        <c:scaling>
          <c:orientation val="minMax"/>
          <c:max val="2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843290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05"/>
          <c:y val="0.3815"/>
          <c:w val="0.30725"/>
          <c:h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"/>
          <c:w val="0.652"/>
          <c:h val="0.96075"/>
        </c:manualLayout>
      </c:layout>
      <c:scatterChart>
        <c:scatterStyle val="lineMarker"/>
        <c:varyColors val="0"/>
        <c:ser>
          <c:idx val="1"/>
          <c:order val="0"/>
          <c:tx>
            <c:v>confidence interval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'Ex2 Schuirmann'!$G$58:$H$58</c:f>
              <c:numCache/>
            </c:numRef>
          </c:xVal>
          <c:yVal>
            <c:numRef>
              <c:f>'Ex2 Schuirmann'!$G$59:$H$59</c:f>
              <c:numCache/>
            </c:numRef>
          </c:yVal>
          <c:smooth val="0"/>
        </c:ser>
        <c:ser>
          <c:idx val="0"/>
          <c:order val="1"/>
          <c:tx>
            <c:v>acceptance interval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'Ex2 Schuirmann'!$E$58:$F$58</c:f>
              <c:numCache/>
            </c:numRef>
          </c:xVal>
          <c:yVal>
            <c:numRef>
              <c:f>'Ex2 Schuirmann'!$E$59:$F$59</c:f>
              <c:numCache/>
            </c:numRef>
          </c:yVal>
          <c:smooth val="0"/>
        </c:ser>
        <c:axId val="38556932"/>
        <c:axId val="11468069"/>
      </c:scatterChart>
      <c:valAx>
        <c:axId val="38556932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68069"/>
        <c:crosses val="autoZero"/>
        <c:crossBetween val="midCat"/>
        <c:dispUnits/>
        <c:majorUnit val="1"/>
        <c:minorUnit val="0.4"/>
      </c:valAx>
      <c:valAx>
        <c:axId val="11468069"/>
        <c:scaling>
          <c:orientation val="minMax"/>
          <c:max val="2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556932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05"/>
          <c:y val="0.3815"/>
          <c:w val="0.30725"/>
          <c:h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4"/>
          <c:w val="0.66125"/>
          <c:h val="0.96075"/>
        </c:manualLayout>
      </c:layout>
      <c:scatterChart>
        <c:scatterStyle val="lineMarker"/>
        <c:varyColors val="0"/>
        <c:ser>
          <c:idx val="1"/>
          <c:order val="0"/>
          <c:tx>
            <c:v>confidence interval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'Ex3 Series Equiv.Test Welch'!$J$37:$K$37</c:f>
              <c:numCache/>
            </c:numRef>
          </c:xVal>
          <c:yVal>
            <c:numLit>
              <c:ptCount val="2"/>
              <c:pt idx="0">
                <c:v>1.5</c:v>
              </c:pt>
              <c:pt idx="1">
                <c:v>1.5</c:v>
              </c:pt>
            </c:numLit>
          </c:yVal>
          <c:smooth val="0"/>
        </c:ser>
        <c:ser>
          <c:idx val="0"/>
          <c:order val="1"/>
          <c:tx>
            <c:v>acceptance interval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'Ex3 Series Equiv.Test Welch'!$H$37:$I$37</c:f>
              <c:numCache/>
            </c:numRef>
          </c:xVal>
          <c:yVal>
            <c:numRef>
              <c:f>'Ex3 Series Equiv.Test Welch'!$H$38:$I$38</c:f>
              <c:numCache/>
            </c:numRef>
          </c:yVal>
          <c:smooth val="0"/>
        </c:ser>
        <c:axId val="36103758"/>
        <c:axId val="56498367"/>
      </c:scatterChart>
      <c:valAx>
        <c:axId val="36103758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98367"/>
        <c:crosses val="autoZero"/>
        <c:crossBetween val="midCat"/>
        <c:dispUnits/>
        <c:majorUnit val="1"/>
        <c:minorUnit val="0.4"/>
      </c:valAx>
      <c:valAx>
        <c:axId val="56498367"/>
        <c:scaling>
          <c:orientation val="minMax"/>
          <c:max val="2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103758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"/>
          <c:y val="0.3815"/>
          <c:w val="0.30575"/>
          <c:h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4025"/>
          <c:w val="0.66125"/>
          <c:h val="0.9605"/>
        </c:manualLayout>
      </c:layout>
      <c:scatterChart>
        <c:scatterStyle val="lineMarker"/>
        <c:varyColors val="0"/>
        <c:ser>
          <c:idx val="1"/>
          <c:order val="0"/>
          <c:tx>
            <c:v>confidence interval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'Ex3 Series Equiv.Test Welch'!$J$51:$K$51</c:f>
              <c:numCache/>
            </c:numRef>
          </c:xVal>
          <c:yVal>
            <c:numLit>
              <c:ptCount val="2"/>
              <c:pt idx="0">
                <c:v>1.5</c:v>
              </c:pt>
              <c:pt idx="1">
                <c:v>1.5</c:v>
              </c:pt>
            </c:numLit>
          </c:yVal>
          <c:smooth val="0"/>
        </c:ser>
        <c:ser>
          <c:idx val="0"/>
          <c:order val="1"/>
          <c:tx>
            <c:v>acceptance interval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'Ex3 Series Equiv.Test Welch'!$H$37:$I$37</c:f>
              <c:numCache/>
            </c:numRef>
          </c:xVal>
          <c:yVal>
            <c:numRef>
              <c:f>'Ex3 Series Equiv.Test Welch'!$H$38:$I$38</c:f>
              <c:numCache/>
            </c:numRef>
          </c:yVal>
          <c:smooth val="0"/>
        </c:ser>
        <c:axId val="38723256"/>
        <c:axId val="12964985"/>
      </c:scatterChart>
      <c:valAx>
        <c:axId val="38723256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64985"/>
        <c:crosses val="autoZero"/>
        <c:crossBetween val="midCat"/>
        <c:dispUnits/>
        <c:majorUnit val="1"/>
        <c:minorUnit val="0.4"/>
      </c:valAx>
      <c:valAx>
        <c:axId val="12964985"/>
        <c:scaling>
          <c:orientation val="minMax"/>
          <c:max val="2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723256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"/>
          <c:y val="0.38325"/>
          <c:w val="0.30575"/>
          <c:h val="0.2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"/>
          <c:w val="0.652"/>
          <c:h val="0.96075"/>
        </c:manualLayout>
      </c:layout>
      <c:scatterChart>
        <c:scatterStyle val="lineMarker"/>
        <c:varyColors val="0"/>
        <c:ser>
          <c:idx val="1"/>
          <c:order val="0"/>
          <c:tx>
            <c:v>confidence interval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'Ex3 Schuirmann'!$G$43:$H$43</c:f>
              <c:numCache/>
            </c:numRef>
          </c:xVal>
          <c:yVal>
            <c:numRef>
              <c:f>'Ex3 Schuirmann'!$G$44:$H$44</c:f>
              <c:numCache/>
            </c:numRef>
          </c:yVal>
          <c:smooth val="0"/>
        </c:ser>
        <c:ser>
          <c:idx val="0"/>
          <c:order val="1"/>
          <c:tx>
            <c:v>acceptance interval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'Ex3 Schuirmann'!$E$43:$F$43</c:f>
              <c:numCache/>
            </c:numRef>
          </c:xVal>
          <c:yVal>
            <c:numRef>
              <c:f>'Ex3 Schuirmann'!$E$44:$F$44</c:f>
              <c:numCache/>
            </c:numRef>
          </c:yVal>
          <c:smooth val="0"/>
        </c:ser>
        <c:axId val="49576002"/>
        <c:axId val="43530835"/>
      </c:scatterChart>
      <c:valAx>
        <c:axId val="49576002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30835"/>
        <c:crosses val="autoZero"/>
        <c:crossBetween val="midCat"/>
        <c:dispUnits/>
        <c:majorUnit val="1"/>
        <c:minorUnit val="0.4"/>
      </c:valAx>
      <c:valAx>
        <c:axId val="43530835"/>
        <c:scaling>
          <c:orientation val="minMax"/>
          <c:max val="2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576002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05"/>
          <c:y val="0.3815"/>
          <c:w val="0.30725"/>
          <c:h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"/>
          <c:w val="0.652"/>
          <c:h val="0.96075"/>
        </c:manualLayout>
      </c:layout>
      <c:scatterChart>
        <c:scatterStyle val="lineMarker"/>
        <c:varyColors val="0"/>
        <c:ser>
          <c:idx val="1"/>
          <c:order val="0"/>
          <c:tx>
            <c:v>confidence interval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'Ex3 Schuirmann'!$G$58:$H$58</c:f>
              <c:numCache/>
            </c:numRef>
          </c:xVal>
          <c:yVal>
            <c:numRef>
              <c:f>'Ex3 Schuirmann'!$G$59:$H$59</c:f>
              <c:numCache/>
            </c:numRef>
          </c:yVal>
          <c:smooth val="0"/>
        </c:ser>
        <c:ser>
          <c:idx val="0"/>
          <c:order val="1"/>
          <c:tx>
            <c:v>acceptance interval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'Ex3 Schuirmann'!$E$58:$F$58</c:f>
              <c:numCache/>
            </c:numRef>
          </c:xVal>
          <c:yVal>
            <c:numRef>
              <c:f>'Ex3 Schuirmann'!$E$59:$F$59</c:f>
              <c:numCache/>
            </c:numRef>
          </c:yVal>
          <c:smooth val="0"/>
        </c:ser>
        <c:axId val="56233196"/>
        <c:axId val="36336717"/>
      </c:scatterChart>
      <c:valAx>
        <c:axId val="56233196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36717"/>
        <c:crosses val="autoZero"/>
        <c:crossBetween val="midCat"/>
        <c:dispUnits/>
        <c:majorUnit val="1"/>
        <c:minorUnit val="0.4"/>
      </c:valAx>
      <c:valAx>
        <c:axId val="36336717"/>
        <c:scaling>
          <c:orientation val="minMax"/>
          <c:max val="2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233196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05"/>
          <c:y val="0.3815"/>
          <c:w val="0.30725"/>
          <c:h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"/>
          <c:w val="0.64925"/>
          <c:h val="0.96075"/>
        </c:manualLayout>
      </c:layout>
      <c:scatterChart>
        <c:scatterStyle val="lineMarker"/>
        <c:varyColors val="0"/>
        <c:ser>
          <c:idx val="1"/>
          <c:order val="0"/>
          <c:tx>
            <c:v>confidence interval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'Ex1 Series Equiv.Test'!$J$37:$K$37</c:f>
              <c:numCache/>
            </c:numRef>
          </c:xVal>
          <c:yVal>
            <c:numLit>
              <c:ptCount val="2"/>
              <c:pt idx="0">
                <c:v>1.5</c:v>
              </c:pt>
              <c:pt idx="1">
                <c:v>1.5</c:v>
              </c:pt>
            </c:numLit>
          </c:yVal>
          <c:smooth val="0"/>
        </c:ser>
        <c:ser>
          <c:idx val="0"/>
          <c:order val="1"/>
          <c:tx>
            <c:v>acceptance interval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'Ex1 Series Equiv.Test'!$H$37:$I$37</c:f>
              <c:numCache/>
            </c:numRef>
          </c:xVal>
          <c:yVal>
            <c:numRef>
              <c:f>'Ex1 Series Equiv.Test'!$H$38:$I$38</c:f>
              <c:numCache/>
            </c:numRef>
          </c:yVal>
          <c:smooth val="0"/>
        </c:ser>
        <c:axId val="15259658"/>
        <c:axId val="3119195"/>
      </c:scatterChart>
      <c:valAx>
        <c:axId val="15259658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9195"/>
        <c:crosses val="autoZero"/>
        <c:crossBetween val="midCat"/>
        <c:dispUnits/>
        <c:majorUnit val="1"/>
        <c:minorUnit val="0.4"/>
      </c:valAx>
      <c:valAx>
        <c:axId val="3119195"/>
        <c:scaling>
          <c:orientation val="minMax"/>
          <c:max val="2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259658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05"/>
          <c:y val="0.3815"/>
          <c:w val="0.307"/>
          <c:h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025"/>
          <c:w val="0.64925"/>
          <c:h val="0.9605"/>
        </c:manualLayout>
      </c:layout>
      <c:scatterChart>
        <c:scatterStyle val="lineMarker"/>
        <c:varyColors val="0"/>
        <c:ser>
          <c:idx val="1"/>
          <c:order val="0"/>
          <c:tx>
            <c:v>confidence interval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'Ex1 Series Equiv.Test'!$J$51:$K$51</c:f>
              <c:numCache/>
            </c:numRef>
          </c:xVal>
          <c:yVal>
            <c:numLit>
              <c:ptCount val="2"/>
              <c:pt idx="0">
                <c:v>1.5</c:v>
              </c:pt>
              <c:pt idx="1">
                <c:v>1.5</c:v>
              </c:pt>
            </c:numLit>
          </c:yVal>
          <c:smooth val="0"/>
        </c:ser>
        <c:ser>
          <c:idx val="0"/>
          <c:order val="1"/>
          <c:tx>
            <c:v>acceptance interval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'Ex1 Series Equiv.Test'!$H$37:$I$37</c:f>
              <c:numCache/>
            </c:numRef>
          </c:xVal>
          <c:yVal>
            <c:numRef>
              <c:f>'Ex1 Series Equiv.Test'!$H$38:$I$38</c:f>
              <c:numCache/>
            </c:numRef>
          </c:yVal>
          <c:smooth val="0"/>
        </c:ser>
        <c:axId val="28072756"/>
        <c:axId val="51328213"/>
      </c:scatterChart>
      <c:valAx>
        <c:axId val="28072756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28213"/>
        <c:crosses val="autoZero"/>
        <c:crossBetween val="midCat"/>
        <c:dispUnits/>
        <c:majorUnit val="1"/>
        <c:minorUnit val="0.4"/>
      </c:valAx>
      <c:valAx>
        <c:axId val="51328213"/>
        <c:scaling>
          <c:orientation val="minMax"/>
          <c:max val="2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072756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05"/>
          <c:y val="0.38325"/>
          <c:w val="0.307"/>
          <c:h val="0.2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4"/>
          <c:w val="0.66125"/>
          <c:h val="0.96075"/>
        </c:manualLayout>
      </c:layout>
      <c:scatterChart>
        <c:scatterStyle val="lineMarker"/>
        <c:varyColors val="0"/>
        <c:ser>
          <c:idx val="1"/>
          <c:order val="0"/>
          <c:tx>
            <c:v>confidence interval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'Ex1 Series Equiv.Test Welch'!$J$37:$K$37</c:f>
              <c:numCache/>
            </c:numRef>
          </c:xVal>
          <c:yVal>
            <c:numLit>
              <c:ptCount val="2"/>
              <c:pt idx="0">
                <c:v>1.5</c:v>
              </c:pt>
              <c:pt idx="1">
                <c:v>1.5</c:v>
              </c:pt>
            </c:numLit>
          </c:yVal>
          <c:smooth val="0"/>
        </c:ser>
        <c:ser>
          <c:idx val="0"/>
          <c:order val="1"/>
          <c:tx>
            <c:v>acceptance interval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'Ex1 Series Equiv.Test Welch'!$H$37:$I$37</c:f>
              <c:numCache/>
            </c:numRef>
          </c:xVal>
          <c:yVal>
            <c:numRef>
              <c:f>'Ex1 Series Equiv.Test Welch'!$H$38:$I$38</c:f>
              <c:numCache/>
            </c:numRef>
          </c:yVal>
          <c:smooth val="0"/>
        </c:ser>
        <c:axId val="59300734"/>
        <c:axId val="63944559"/>
      </c:scatterChart>
      <c:valAx>
        <c:axId val="59300734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4559"/>
        <c:crosses val="autoZero"/>
        <c:crossBetween val="midCat"/>
        <c:dispUnits/>
        <c:majorUnit val="1"/>
        <c:minorUnit val="0.4"/>
      </c:valAx>
      <c:valAx>
        <c:axId val="63944559"/>
        <c:scaling>
          <c:orientation val="minMax"/>
          <c:max val="2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300734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"/>
          <c:y val="0.3815"/>
          <c:w val="0.30575"/>
          <c:h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4025"/>
          <c:w val="0.66125"/>
          <c:h val="0.9605"/>
        </c:manualLayout>
      </c:layout>
      <c:scatterChart>
        <c:scatterStyle val="lineMarker"/>
        <c:varyColors val="0"/>
        <c:ser>
          <c:idx val="1"/>
          <c:order val="0"/>
          <c:tx>
            <c:v>confidence interval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'Ex1 Series Equiv.Test Welch'!$J$51:$K$51</c:f>
              <c:numCache/>
            </c:numRef>
          </c:xVal>
          <c:yVal>
            <c:numLit>
              <c:ptCount val="2"/>
              <c:pt idx="0">
                <c:v>1.5</c:v>
              </c:pt>
              <c:pt idx="1">
                <c:v>1.5</c:v>
              </c:pt>
            </c:numLit>
          </c:yVal>
          <c:smooth val="0"/>
        </c:ser>
        <c:ser>
          <c:idx val="0"/>
          <c:order val="1"/>
          <c:tx>
            <c:v>acceptance interval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'Ex1 Series Equiv.Test Welch'!$H$37:$I$37</c:f>
              <c:numCache/>
            </c:numRef>
          </c:xVal>
          <c:yVal>
            <c:numRef>
              <c:f>'Ex1 Series Equiv.Test Welch'!$H$38:$I$38</c:f>
              <c:numCache/>
            </c:numRef>
          </c:yVal>
          <c:smooth val="0"/>
        </c:ser>
        <c:axId val="38630120"/>
        <c:axId val="12126761"/>
      </c:scatterChart>
      <c:valAx>
        <c:axId val="38630120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26761"/>
        <c:crosses val="autoZero"/>
        <c:crossBetween val="midCat"/>
        <c:dispUnits/>
        <c:majorUnit val="1"/>
        <c:minorUnit val="0.4"/>
      </c:valAx>
      <c:valAx>
        <c:axId val="12126761"/>
        <c:scaling>
          <c:orientation val="minMax"/>
          <c:max val="2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630120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"/>
          <c:y val="0.38325"/>
          <c:w val="0.30575"/>
          <c:h val="0.2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"/>
          <c:w val="0.652"/>
          <c:h val="0.96075"/>
        </c:manualLayout>
      </c:layout>
      <c:scatterChart>
        <c:scatterStyle val="lineMarker"/>
        <c:varyColors val="0"/>
        <c:ser>
          <c:idx val="1"/>
          <c:order val="0"/>
          <c:tx>
            <c:v>confidence interval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'Ex1 Schuirmann'!$G$43:$H$43</c:f>
              <c:numCache/>
            </c:numRef>
          </c:xVal>
          <c:yVal>
            <c:numRef>
              <c:f>'Ex1 Schuirmann'!$G$44:$H$44</c:f>
              <c:numCache/>
            </c:numRef>
          </c:yVal>
          <c:smooth val="0"/>
        </c:ser>
        <c:ser>
          <c:idx val="0"/>
          <c:order val="1"/>
          <c:tx>
            <c:v>acceptance interval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'Ex1 Schuirmann'!$E$43:$F$43</c:f>
              <c:numCache/>
            </c:numRef>
          </c:xVal>
          <c:yVal>
            <c:numRef>
              <c:f>'Ex1 Schuirmann'!$E$44:$F$44</c:f>
              <c:numCache/>
            </c:numRef>
          </c:yVal>
          <c:smooth val="0"/>
        </c:ser>
        <c:axId val="42031986"/>
        <c:axId val="42743555"/>
      </c:scatterChart>
      <c:valAx>
        <c:axId val="42031986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43555"/>
        <c:crosses val="autoZero"/>
        <c:crossBetween val="midCat"/>
        <c:dispUnits/>
        <c:majorUnit val="1"/>
        <c:minorUnit val="0.4"/>
      </c:valAx>
      <c:valAx>
        <c:axId val="42743555"/>
        <c:scaling>
          <c:orientation val="minMax"/>
          <c:max val="2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031986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05"/>
          <c:y val="0.3815"/>
          <c:w val="0.30725"/>
          <c:h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"/>
          <c:w val="0.652"/>
          <c:h val="0.96075"/>
        </c:manualLayout>
      </c:layout>
      <c:scatterChart>
        <c:scatterStyle val="lineMarker"/>
        <c:varyColors val="0"/>
        <c:ser>
          <c:idx val="1"/>
          <c:order val="0"/>
          <c:tx>
            <c:v>confidence interval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'Ex1 Schuirmann'!$G$58:$H$58</c:f>
              <c:numCache/>
            </c:numRef>
          </c:xVal>
          <c:yVal>
            <c:numRef>
              <c:f>'Ex1 Schuirmann'!$G$59:$H$59</c:f>
              <c:numCache/>
            </c:numRef>
          </c:yVal>
          <c:smooth val="0"/>
        </c:ser>
        <c:ser>
          <c:idx val="0"/>
          <c:order val="1"/>
          <c:tx>
            <c:v>acceptance interval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'Ex1 Schuirmann'!$E$58:$F$58</c:f>
              <c:numCache/>
            </c:numRef>
          </c:xVal>
          <c:yVal>
            <c:numRef>
              <c:f>'Ex1 Schuirmann'!$E$59:$F$59</c:f>
              <c:numCache/>
            </c:numRef>
          </c:yVal>
          <c:smooth val="0"/>
        </c:ser>
        <c:axId val="49147676"/>
        <c:axId val="39675901"/>
      </c:scatterChart>
      <c:valAx>
        <c:axId val="49147676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75901"/>
        <c:crosses val="autoZero"/>
        <c:crossBetween val="midCat"/>
        <c:dispUnits/>
        <c:majorUnit val="1"/>
        <c:minorUnit val="0.4"/>
      </c:valAx>
      <c:valAx>
        <c:axId val="39675901"/>
        <c:scaling>
          <c:orientation val="minMax"/>
          <c:max val="2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147676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05"/>
          <c:y val="0.3815"/>
          <c:w val="0.30725"/>
          <c:h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4"/>
          <c:w val="0.66125"/>
          <c:h val="0.96075"/>
        </c:manualLayout>
      </c:layout>
      <c:scatterChart>
        <c:scatterStyle val="lineMarker"/>
        <c:varyColors val="0"/>
        <c:ser>
          <c:idx val="1"/>
          <c:order val="0"/>
          <c:tx>
            <c:v>confidence interval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'Ex2 Series Equiv.Test Welch'!$J$37:$K$37</c:f>
              <c:numCache/>
            </c:numRef>
          </c:xVal>
          <c:yVal>
            <c:numLit>
              <c:ptCount val="2"/>
              <c:pt idx="0">
                <c:v>1.5</c:v>
              </c:pt>
              <c:pt idx="1">
                <c:v>1.5</c:v>
              </c:pt>
            </c:numLit>
          </c:yVal>
          <c:smooth val="0"/>
        </c:ser>
        <c:ser>
          <c:idx val="0"/>
          <c:order val="1"/>
          <c:tx>
            <c:v>acceptance interval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'Ex2 Series Equiv.Test Welch'!$H$37:$I$37</c:f>
              <c:numCache/>
            </c:numRef>
          </c:xVal>
          <c:yVal>
            <c:numRef>
              <c:f>'Ex2 Series Equiv.Test Welch'!$H$38:$I$38</c:f>
              <c:numCache/>
            </c:numRef>
          </c:yVal>
          <c:smooth val="0"/>
        </c:ser>
        <c:axId val="21538790"/>
        <c:axId val="59631383"/>
      </c:scatterChart>
      <c:valAx>
        <c:axId val="21538790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31383"/>
        <c:crosses val="autoZero"/>
        <c:crossBetween val="midCat"/>
        <c:dispUnits/>
        <c:majorUnit val="1"/>
        <c:minorUnit val="0.4"/>
      </c:valAx>
      <c:valAx>
        <c:axId val="59631383"/>
        <c:scaling>
          <c:orientation val="minMax"/>
          <c:max val="2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538790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"/>
          <c:y val="0.3815"/>
          <c:w val="0.30575"/>
          <c:h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4025"/>
          <c:w val="0.66125"/>
          <c:h val="0.9605"/>
        </c:manualLayout>
      </c:layout>
      <c:scatterChart>
        <c:scatterStyle val="lineMarker"/>
        <c:varyColors val="0"/>
        <c:ser>
          <c:idx val="1"/>
          <c:order val="0"/>
          <c:tx>
            <c:v>confidence interval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'Ex2 Series Equiv.Test Welch'!$J$51:$K$51</c:f>
              <c:numCache/>
            </c:numRef>
          </c:xVal>
          <c:yVal>
            <c:numLit>
              <c:ptCount val="2"/>
              <c:pt idx="0">
                <c:v>1.5</c:v>
              </c:pt>
              <c:pt idx="1">
                <c:v>1.5</c:v>
              </c:pt>
            </c:numLit>
          </c:yVal>
          <c:smooth val="0"/>
        </c:ser>
        <c:ser>
          <c:idx val="0"/>
          <c:order val="1"/>
          <c:tx>
            <c:v>acceptance interval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'Ex2 Series Equiv.Test Welch'!$H$37:$I$37</c:f>
              <c:numCache/>
            </c:numRef>
          </c:xVal>
          <c:yVal>
            <c:numRef>
              <c:f>'Ex2 Series Equiv.Test Welch'!$H$38:$I$38</c:f>
              <c:numCache/>
            </c:numRef>
          </c:yVal>
          <c:smooth val="0"/>
        </c:ser>
        <c:axId val="66920400"/>
        <c:axId val="65412689"/>
      </c:scatterChart>
      <c:valAx>
        <c:axId val="66920400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12689"/>
        <c:crosses val="autoZero"/>
        <c:crossBetween val="midCat"/>
        <c:dispUnits/>
        <c:majorUnit val="1"/>
        <c:minorUnit val="0.4"/>
      </c:valAx>
      <c:valAx>
        <c:axId val="65412689"/>
        <c:scaling>
          <c:orientation val="minMax"/>
          <c:max val="2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920400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"/>
          <c:y val="0.38325"/>
          <c:w val="0.30575"/>
          <c:h val="0.2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3</xdr:row>
      <xdr:rowOff>133350</xdr:rowOff>
    </xdr:from>
    <xdr:to>
      <xdr:col>13</xdr:col>
      <xdr:colOff>447675</xdr:colOff>
      <xdr:row>20</xdr:row>
      <xdr:rowOff>28575</xdr:rowOff>
    </xdr:to>
    <xdr:graphicFrame>
      <xdr:nvGraphicFramePr>
        <xdr:cNvPr id="1" name="Diagramm 4"/>
        <xdr:cNvGraphicFramePr/>
      </xdr:nvGraphicFramePr>
      <xdr:xfrm>
        <a:off x="5962650" y="619125"/>
        <a:ext cx="43910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32</xdr:row>
      <xdr:rowOff>114300</xdr:rowOff>
    </xdr:from>
    <xdr:to>
      <xdr:col>18</xdr:col>
      <xdr:colOff>19050</xdr:colOff>
      <xdr:row>45</xdr:row>
      <xdr:rowOff>142875</xdr:rowOff>
    </xdr:to>
    <xdr:graphicFrame>
      <xdr:nvGraphicFramePr>
        <xdr:cNvPr id="1" name="Diagramm 6"/>
        <xdr:cNvGraphicFramePr/>
      </xdr:nvGraphicFramePr>
      <xdr:xfrm>
        <a:off x="9810750" y="5334000"/>
        <a:ext cx="46482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49</xdr:row>
      <xdr:rowOff>66675</xdr:rowOff>
    </xdr:from>
    <xdr:to>
      <xdr:col>18</xdr:col>
      <xdr:colOff>19050</xdr:colOff>
      <xdr:row>62</xdr:row>
      <xdr:rowOff>85725</xdr:rowOff>
    </xdr:to>
    <xdr:graphicFrame>
      <xdr:nvGraphicFramePr>
        <xdr:cNvPr id="2" name="Diagramm 1"/>
        <xdr:cNvGraphicFramePr/>
      </xdr:nvGraphicFramePr>
      <xdr:xfrm>
        <a:off x="9810750" y="8039100"/>
        <a:ext cx="464820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228600</xdr:colOff>
      <xdr:row>25</xdr:row>
      <xdr:rowOff>142875</xdr:rowOff>
    </xdr:from>
    <xdr:ext cx="3028950" cy="428625"/>
    <xdr:sp>
      <xdr:nvSpPr>
        <xdr:cNvPr id="3" name="pole tekstowe 4"/>
        <xdr:cNvSpPr txBox="1">
          <a:spLocks noChangeArrowheads="1"/>
        </xdr:cNvSpPr>
      </xdr:nvSpPr>
      <xdr:spPr>
        <a:xfrm>
          <a:off x="2581275" y="4229100"/>
          <a:ext cx="3028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_xD835__xDC36__xD835__xDC3F_=(((_xD835__xDC65__1 ) ̅+(_xD835__xDC65__2 ) ̅ ))/2−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(((_xD835__xDC66__1 ) ̅+(_xD835__xDC66__2 ) ̅ ))/2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±_xD835__xDC61__(1−2∙_xD835__xDEFC_;_xD835__xDF17_)∙_xD835__xDC60_</a:t>
          </a:r>
        </a:p>
      </xdr:txBody>
    </xdr:sp>
    <xdr:clientData/>
  </xdr:oneCellAnchor>
  <xdr:oneCellAnchor>
    <xdr:from>
      <xdr:col>11</xdr:col>
      <xdr:colOff>76200</xdr:colOff>
      <xdr:row>5</xdr:row>
      <xdr:rowOff>85725</xdr:rowOff>
    </xdr:from>
    <xdr:ext cx="2085975" cy="428625"/>
    <xdr:sp>
      <xdr:nvSpPr>
        <xdr:cNvPr id="4" name="pole tekstowe 5"/>
        <xdr:cNvSpPr txBox="1">
          <a:spLocks noChangeArrowheads="1"/>
        </xdr:cNvSpPr>
      </xdr:nvSpPr>
      <xdr:spPr>
        <a:xfrm>
          <a:off x="9105900" y="933450"/>
          <a:ext cx="2085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_xD835__xDC51__xD835__xDC56__xD835__xDC53__xD835__xDC53_=((_xD835__xDC65__1 ) ̅+(_xD835__xDC65__2 ) ̅)/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2−(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(_xD835__xDC66__1 ) ̅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(_xD835__xDC66__2 ) ̅)/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</a:p>
      </xdr:txBody>
    </xdr:sp>
    <xdr:clientData/>
  </xdr:oneCellAnchor>
  <xdr:oneCellAnchor>
    <xdr:from>
      <xdr:col>10</xdr:col>
      <xdr:colOff>752475</xdr:colOff>
      <xdr:row>11</xdr:row>
      <xdr:rowOff>19050</xdr:rowOff>
    </xdr:from>
    <xdr:ext cx="6191250" cy="590550"/>
    <xdr:sp>
      <xdr:nvSpPr>
        <xdr:cNvPr id="5" name="pole tekstowe 6"/>
        <xdr:cNvSpPr txBox="1">
          <a:spLocks noChangeArrowheads="1"/>
        </xdr:cNvSpPr>
      </xdr:nvSpPr>
      <xdr:spPr>
        <a:xfrm>
          <a:off x="8953500" y="1838325"/>
          <a:ext cx="61912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_xD835__xDC60_=√(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(((_xD835__xDC5B__(_xD835__xDC65_,1)−1) _xD835__xDC60__(_xD835__xDC65_,1)^2)/16+((_xD835__xDC5B__(_xD835__xDC65_,2)−1)_xD835__xDC60__(_xD835__xDC65_,2)^2)/16+((_xD835__xDC5B__(_xD835__xDC66_,1)−1) _xD835__xDC60__(_xD835__xDC66_,1)^2)/16+((_xD835__xDC5B__(_xD835__xDC66_,2)−1)_xD835__xDC60__(_xD835__xDC66_,2)^2)/16)/(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_xD835__xDC5B_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_xD835__xDC65_,1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+_xD835__xDC5B__(_xD835__xDC65_,2)+_xD835__xDC5B__(_xD835__xDC66_,1)+_xD835__xDC5B__(_xD835__xDC66_,2)−4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∙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_xD835__xDC5B__(_xD835__xDC65_,1) +1/_xD835__xDC5B__(_xD835__xDC65_,2) +1/_xD835__xDC5B__(_xD835__xDC66_,1) +1/_xD835__xDC5B__(_xD835__xDC66_,2) ) )</a:t>
          </a:r>
        </a:p>
      </xdr:txBody>
    </xdr:sp>
    <xdr:clientData/>
  </xdr:oneCellAnchor>
  <xdr:oneCellAnchor>
    <xdr:from>
      <xdr:col>1</xdr:col>
      <xdr:colOff>333375</xdr:colOff>
      <xdr:row>23</xdr:row>
      <xdr:rowOff>123825</xdr:rowOff>
    </xdr:from>
    <xdr:ext cx="304800" cy="266700"/>
    <xdr:sp>
      <xdr:nvSpPr>
        <xdr:cNvPr id="6" name="pole tekstowe 1"/>
        <xdr:cNvSpPr txBox="1">
          <a:spLocks noChangeArrowheads="1"/>
        </xdr:cNvSpPr>
      </xdr:nvSpPr>
      <xdr:spPr>
        <a:xfrm>
          <a:off x="1095375" y="38862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_xD835__xDF17_</a:t>
          </a:r>
        </a:p>
      </xdr:txBody>
    </xdr:sp>
    <xdr:clientData/>
  </xdr:oneCellAnchor>
  <xdr:oneCellAnchor>
    <xdr:from>
      <xdr:col>9</xdr:col>
      <xdr:colOff>361950</xdr:colOff>
      <xdr:row>23</xdr:row>
      <xdr:rowOff>114300</xdr:rowOff>
    </xdr:from>
    <xdr:ext cx="304800" cy="266700"/>
    <xdr:sp>
      <xdr:nvSpPr>
        <xdr:cNvPr id="7" name="pole tekstowe 7"/>
        <xdr:cNvSpPr txBox="1">
          <a:spLocks noChangeArrowheads="1"/>
        </xdr:cNvSpPr>
      </xdr:nvSpPr>
      <xdr:spPr>
        <a:xfrm>
          <a:off x="7800975" y="38766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_xD835__xDF17_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32</xdr:row>
      <xdr:rowOff>114300</xdr:rowOff>
    </xdr:from>
    <xdr:to>
      <xdr:col>18</xdr:col>
      <xdr:colOff>19050</xdr:colOff>
      <xdr:row>45</xdr:row>
      <xdr:rowOff>142875</xdr:rowOff>
    </xdr:to>
    <xdr:graphicFrame>
      <xdr:nvGraphicFramePr>
        <xdr:cNvPr id="1" name="Diagramm 6"/>
        <xdr:cNvGraphicFramePr/>
      </xdr:nvGraphicFramePr>
      <xdr:xfrm>
        <a:off x="9963150" y="5295900"/>
        <a:ext cx="48196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49</xdr:row>
      <xdr:rowOff>0</xdr:rowOff>
    </xdr:from>
    <xdr:to>
      <xdr:col>18</xdr:col>
      <xdr:colOff>0</xdr:colOff>
      <xdr:row>62</xdr:row>
      <xdr:rowOff>19050</xdr:rowOff>
    </xdr:to>
    <xdr:graphicFrame>
      <xdr:nvGraphicFramePr>
        <xdr:cNvPr id="2" name="Diagramm 1"/>
        <xdr:cNvGraphicFramePr/>
      </xdr:nvGraphicFramePr>
      <xdr:xfrm>
        <a:off x="9944100" y="7934325"/>
        <a:ext cx="48196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495300</xdr:colOff>
      <xdr:row>14</xdr:row>
      <xdr:rowOff>0</xdr:rowOff>
    </xdr:from>
    <xdr:ext cx="5791200" cy="1095375"/>
    <xdr:sp>
      <xdr:nvSpPr>
        <xdr:cNvPr id="3" name="pole tekstowe 3"/>
        <xdr:cNvSpPr txBox="1">
          <a:spLocks noChangeArrowheads="1"/>
        </xdr:cNvSpPr>
      </xdr:nvSpPr>
      <xdr:spPr>
        <a:xfrm>
          <a:off x="8915400" y="2266950"/>
          <a:ext cx="5791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_xD835__xDF17_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=((_xD835__xDC60__(_xD835__xDC65_,1)^2)/〖4∗_xD835__xDC5B_〗_(_xD835__xDC65_,1) +(_xD835__xDC60__(_xD835__xDC65_,2)^2)/〖4∗_xD835__xDC5B_〗_(_xD835__xDC65_,2) 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(_xD835__xDC60__(_xD835__xDC66_,1)^2)/(4∗_xD835__xDC5B__(_xD835__xDC66_,1) )+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_xD835__xDC60_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_xD835__xDC66_,2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4∗_xD835__xDC5B_〗_(_xD835__xDC66_,2) )^2/((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_xD835__xDC60_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_xD835__xDC65_,1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16∗_xD835__xDC5B_〗_(_xD835__xDC65_,1)^2 (_xD835__xDC5B__(_xD835__xDC65_,1)−1)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(_xD835__xDC60__(_xD835__xDC65_,2)^4)/(〖16∗_xD835__xDC5B_〗_(_xD835__xDC65_,2)^2 (_xD835__xDC5B__(_xD835__xDC65_,2)−1) )+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_xD835__xDC60_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_xD835__xDC66_,1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16∗_xD835__xDC5B_〗_(_xD835__xDC66_,1)^2 (_xD835__xDC5B__(_xD835__xDC66_,1)−1)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+(_xD835__xDC60__(_xD835__xDC66_,2)^4)/(〖16∗_xD835__xDC5B_〗_(_xD835__xDC66_,2)^2 (_xD835__xDC5B__(_xD835__xDC66_,2)−1) ))</a:t>
          </a:r>
        </a:p>
      </xdr:txBody>
    </xdr:sp>
    <xdr:clientData/>
  </xdr:oneCellAnchor>
  <xdr:oneCellAnchor>
    <xdr:from>
      <xdr:col>11</xdr:col>
      <xdr:colOff>257175</xdr:colOff>
      <xdr:row>9</xdr:row>
      <xdr:rowOff>114300</xdr:rowOff>
    </xdr:from>
    <xdr:ext cx="3124200" cy="600075"/>
    <xdr:sp>
      <xdr:nvSpPr>
        <xdr:cNvPr id="4" name="pole tekstowe 4"/>
        <xdr:cNvSpPr txBox="1">
          <a:spLocks noChangeArrowheads="1"/>
        </xdr:cNvSpPr>
      </xdr:nvSpPr>
      <xdr:spPr>
        <a:xfrm>
          <a:off x="9439275" y="1571625"/>
          <a:ext cx="3124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_xD835__xDC60_=√((_xD835__xDC60__(_xD835__xDC65_,1)^2)/〖4∗_xD835__xDC5B_〗_(_xD835__xDC65_,1) 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(_xD835__xDC60__(_xD835__xDC65_,2)^2)/〖4∗_xD835__xDC5B_〗_(_xD835__xDC65_,2) +(_xD835__xDC60__(_xD835__xDC66_,1)^2)/〖4∗_xD835__xDC5B_〗_(_xD835__xDC66_,1) +(_xD835__xDC60__(_xD835__xDC66_,2)^2)/〖4∗_xD835__xDC5B_〗_(_xD835__xDC66_,2) )</a:t>
          </a:r>
        </a:p>
      </xdr:txBody>
    </xdr:sp>
    <xdr:clientData/>
  </xdr:oneCellAnchor>
  <xdr:oneCellAnchor>
    <xdr:from>
      <xdr:col>12</xdr:col>
      <xdr:colOff>485775</xdr:colOff>
      <xdr:row>5</xdr:row>
      <xdr:rowOff>76200</xdr:rowOff>
    </xdr:from>
    <xdr:ext cx="914400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10429875" y="8858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428625</xdr:colOff>
      <xdr:row>6</xdr:row>
      <xdr:rowOff>142875</xdr:rowOff>
    </xdr:from>
    <xdr:ext cx="2085975" cy="438150"/>
    <xdr:sp>
      <xdr:nvSpPr>
        <xdr:cNvPr id="6" name="pole tekstowe 6"/>
        <xdr:cNvSpPr txBox="1">
          <a:spLocks noChangeArrowheads="1"/>
        </xdr:cNvSpPr>
      </xdr:nvSpPr>
      <xdr:spPr>
        <a:xfrm>
          <a:off x="9610725" y="1114425"/>
          <a:ext cx="2085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_xD835__xDC51__xD835__xDC56__xD835__xDC53__xD835__xDC53_=((_xD835__xDC65__1 ) ̅+(_xD835__xDC65__2 ) ̅)/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2−(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(_xD835__xDC66__1 ) ̅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(_xD835__xDC66__2 ) ̅)/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</a:p>
      </xdr:txBody>
    </xdr:sp>
    <xdr:clientData/>
  </xdr:oneCellAnchor>
  <xdr:oneCellAnchor>
    <xdr:from>
      <xdr:col>3</xdr:col>
      <xdr:colOff>171450</xdr:colOff>
      <xdr:row>26</xdr:row>
      <xdr:rowOff>142875</xdr:rowOff>
    </xdr:from>
    <xdr:ext cx="2762250" cy="428625"/>
    <xdr:sp>
      <xdr:nvSpPr>
        <xdr:cNvPr id="7" name="pole tekstowe 7"/>
        <xdr:cNvSpPr txBox="1">
          <a:spLocks noChangeArrowheads="1"/>
        </xdr:cNvSpPr>
      </xdr:nvSpPr>
      <xdr:spPr>
        <a:xfrm>
          <a:off x="2933700" y="4352925"/>
          <a:ext cx="2762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_xD835__xDC36__xD835__xDC3F_=(((_xD835__xDC65__1 ) ̅+(_xD835__xDC65__2 ) ̅ ))/2−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(((_xD835__xDC66__1 ) ̅+(_xD835__xDC66__2 ) ̅ ))/2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±_xD835__xDC61__(1−2∙_xD835__xDEFC_;_xD835__xDF17_)∙_xD835__xDC60_</a:t>
          </a:r>
        </a:p>
      </xdr:txBody>
    </xdr:sp>
    <xdr:clientData/>
  </xdr:oneCellAnchor>
  <xdr:oneCellAnchor>
    <xdr:from>
      <xdr:col>1</xdr:col>
      <xdr:colOff>57150</xdr:colOff>
      <xdr:row>23</xdr:row>
      <xdr:rowOff>133350</xdr:rowOff>
    </xdr:from>
    <xdr:ext cx="304800" cy="266700"/>
    <xdr:sp>
      <xdr:nvSpPr>
        <xdr:cNvPr id="8" name="pole tekstowe 8"/>
        <xdr:cNvSpPr txBox="1">
          <a:spLocks noChangeArrowheads="1"/>
        </xdr:cNvSpPr>
      </xdr:nvSpPr>
      <xdr:spPr>
        <a:xfrm>
          <a:off x="1057275" y="38576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_xD835__xDF17_</a:t>
          </a:r>
        </a:p>
      </xdr:txBody>
    </xdr:sp>
    <xdr:clientData/>
  </xdr:oneCellAnchor>
  <xdr:oneCellAnchor>
    <xdr:from>
      <xdr:col>9</xdr:col>
      <xdr:colOff>285750</xdr:colOff>
      <xdr:row>23</xdr:row>
      <xdr:rowOff>123825</xdr:rowOff>
    </xdr:from>
    <xdr:ext cx="304800" cy="266700"/>
    <xdr:sp>
      <xdr:nvSpPr>
        <xdr:cNvPr id="9" name="pole tekstowe 9"/>
        <xdr:cNvSpPr txBox="1">
          <a:spLocks noChangeArrowheads="1"/>
        </xdr:cNvSpPr>
      </xdr:nvSpPr>
      <xdr:spPr>
        <a:xfrm>
          <a:off x="7820025" y="38481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_xD835__xDF17_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1247775</xdr:colOff>
      <xdr:row>4</xdr:row>
      <xdr:rowOff>114300</xdr:rowOff>
    </xdr:from>
    <xdr:ext cx="609600" cy="304800"/>
    <xdr:sp>
      <xdr:nvSpPr>
        <xdr:cNvPr id="1" name="pole tekstowe 1"/>
        <xdr:cNvSpPr txBox="1">
          <a:spLocks noChangeArrowheads="1"/>
        </xdr:cNvSpPr>
      </xdr:nvSpPr>
      <xdr:spPr>
        <a:xfrm>
          <a:off x="5295900" y="76200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461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s√(2/n)</a:t>
          </a:r>
        </a:p>
      </xdr:txBody>
    </xdr:sp>
    <xdr:clientData/>
  </xdr:oneCellAnchor>
  <xdr:oneCellAnchor>
    <xdr:from>
      <xdr:col>1</xdr:col>
      <xdr:colOff>323850</xdr:colOff>
      <xdr:row>27</xdr:row>
      <xdr:rowOff>123825</xdr:rowOff>
    </xdr:from>
    <xdr:ext cx="304800" cy="266700"/>
    <xdr:sp>
      <xdr:nvSpPr>
        <xdr:cNvPr id="2" name="pole tekstowe 2"/>
        <xdr:cNvSpPr txBox="1">
          <a:spLocks noChangeArrowheads="1"/>
        </xdr:cNvSpPr>
      </xdr:nvSpPr>
      <xdr:spPr>
        <a:xfrm>
          <a:off x="1057275" y="4495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_xD835__xDF17_</a:t>
          </a:r>
        </a:p>
      </xdr:txBody>
    </xdr:sp>
    <xdr:clientData/>
  </xdr:oneCellAnchor>
  <xdr:twoCellAnchor>
    <xdr:from>
      <xdr:col>8</xdr:col>
      <xdr:colOff>371475</xdr:colOff>
      <xdr:row>40</xdr:row>
      <xdr:rowOff>66675</xdr:rowOff>
    </xdr:from>
    <xdr:to>
      <xdr:col>14</xdr:col>
      <xdr:colOff>504825</xdr:colOff>
      <xdr:row>53</xdr:row>
      <xdr:rowOff>95250</xdr:rowOff>
    </xdr:to>
    <xdr:graphicFrame>
      <xdr:nvGraphicFramePr>
        <xdr:cNvPr id="3" name="Diagramm 6"/>
        <xdr:cNvGraphicFramePr/>
      </xdr:nvGraphicFramePr>
      <xdr:xfrm>
        <a:off x="7343775" y="6572250"/>
        <a:ext cx="47053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1104900</xdr:colOff>
      <xdr:row>27</xdr:row>
      <xdr:rowOff>104775</xdr:rowOff>
    </xdr:from>
    <xdr:ext cx="276225" cy="266700"/>
    <xdr:sp>
      <xdr:nvSpPr>
        <xdr:cNvPr id="4" name="pole tekstowe 4"/>
        <xdr:cNvSpPr txBox="1">
          <a:spLocks noChangeArrowheads="1"/>
        </xdr:cNvSpPr>
      </xdr:nvSpPr>
      <xdr:spPr>
        <a:xfrm>
          <a:off x="5153025" y="4476750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_xD835__xDF17_</a:t>
          </a:r>
        </a:p>
      </xdr:txBody>
    </xdr:sp>
    <xdr:clientData/>
  </xdr:oneCellAnchor>
  <xdr:twoCellAnchor>
    <xdr:from>
      <xdr:col>8</xdr:col>
      <xdr:colOff>409575</xdr:colOff>
      <xdr:row>57</xdr:row>
      <xdr:rowOff>123825</xdr:rowOff>
    </xdr:from>
    <xdr:to>
      <xdr:col>14</xdr:col>
      <xdr:colOff>542925</xdr:colOff>
      <xdr:row>70</xdr:row>
      <xdr:rowOff>152400</xdr:rowOff>
    </xdr:to>
    <xdr:graphicFrame>
      <xdr:nvGraphicFramePr>
        <xdr:cNvPr id="5" name="Diagramm 6"/>
        <xdr:cNvGraphicFramePr/>
      </xdr:nvGraphicFramePr>
      <xdr:xfrm>
        <a:off x="7381875" y="9382125"/>
        <a:ext cx="470535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647700</xdr:colOff>
      <xdr:row>1</xdr:row>
      <xdr:rowOff>66675</xdr:rowOff>
    </xdr:from>
    <xdr:ext cx="609600" cy="428625"/>
    <xdr:sp>
      <xdr:nvSpPr>
        <xdr:cNvPr id="6" name="pole tekstowe 6"/>
        <xdr:cNvSpPr txBox="1">
          <a:spLocks noChangeArrowheads="1"/>
        </xdr:cNvSpPr>
      </xdr:nvSpPr>
      <xdr:spPr>
        <a:xfrm>
          <a:off x="1381125" y="228600"/>
          <a:ext cx="609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_xD835__xDC60_√(2/_xD835__xDC5B_)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32</xdr:row>
      <xdr:rowOff>114300</xdr:rowOff>
    </xdr:from>
    <xdr:to>
      <xdr:col>18</xdr:col>
      <xdr:colOff>19050</xdr:colOff>
      <xdr:row>45</xdr:row>
      <xdr:rowOff>142875</xdr:rowOff>
    </xdr:to>
    <xdr:graphicFrame>
      <xdr:nvGraphicFramePr>
        <xdr:cNvPr id="1" name="Diagramm 6"/>
        <xdr:cNvGraphicFramePr/>
      </xdr:nvGraphicFramePr>
      <xdr:xfrm>
        <a:off x="9963150" y="5295900"/>
        <a:ext cx="48196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49</xdr:row>
      <xdr:rowOff>0</xdr:rowOff>
    </xdr:from>
    <xdr:to>
      <xdr:col>18</xdr:col>
      <xdr:colOff>0</xdr:colOff>
      <xdr:row>62</xdr:row>
      <xdr:rowOff>19050</xdr:rowOff>
    </xdr:to>
    <xdr:graphicFrame>
      <xdr:nvGraphicFramePr>
        <xdr:cNvPr id="2" name="Diagramm 1"/>
        <xdr:cNvGraphicFramePr/>
      </xdr:nvGraphicFramePr>
      <xdr:xfrm>
        <a:off x="9944100" y="7934325"/>
        <a:ext cx="48196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495300</xdr:colOff>
      <xdr:row>14</xdr:row>
      <xdr:rowOff>0</xdr:rowOff>
    </xdr:from>
    <xdr:ext cx="5791200" cy="1095375"/>
    <xdr:sp>
      <xdr:nvSpPr>
        <xdr:cNvPr id="3" name="pole tekstowe 3"/>
        <xdr:cNvSpPr txBox="1">
          <a:spLocks noChangeArrowheads="1"/>
        </xdr:cNvSpPr>
      </xdr:nvSpPr>
      <xdr:spPr>
        <a:xfrm>
          <a:off x="8915400" y="2266950"/>
          <a:ext cx="5791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_xD835__xDF17_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=((_xD835__xDC60__(_xD835__xDC65_,1)^2)/〖4∗_xD835__xDC5B_〗_(_xD835__xDC65_,1) +(_xD835__xDC60__(_xD835__xDC65_,2)^2)/〖4∗_xD835__xDC5B_〗_(_xD835__xDC65_,2) 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(_xD835__xDC60__(_xD835__xDC66_,1)^2)/(4∗_xD835__xDC5B__(_xD835__xDC66_,1) )+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_xD835__xDC60_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_xD835__xDC66_,2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4∗_xD835__xDC5B_〗_(_xD835__xDC66_,2) )^2/((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_xD835__xDC60_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_xD835__xDC65_,1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16∗_xD835__xDC5B_〗_(_xD835__xDC65_,1)^2 (_xD835__xDC5B__(_xD835__xDC65_,1)−1)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(_xD835__xDC60__(_xD835__xDC65_,2)^4)/(〖16∗_xD835__xDC5B_〗_(_xD835__xDC65_,2)^2 (_xD835__xDC5B__(_xD835__xDC65_,2)−1) )+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_xD835__xDC60_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_xD835__xDC66_,1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16∗_xD835__xDC5B_〗_(_xD835__xDC66_,1)^2 (_xD835__xDC5B__(_xD835__xDC66_,1)−1)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+(_xD835__xDC60__(_xD835__xDC66_,2)^4)/(〖16∗_xD835__xDC5B_〗_(_xD835__xDC66_,2)^2 (_xD835__xDC5B__(_xD835__xDC66_,2)−1) ))</a:t>
          </a:r>
        </a:p>
      </xdr:txBody>
    </xdr:sp>
    <xdr:clientData/>
  </xdr:oneCellAnchor>
  <xdr:oneCellAnchor>
    <xdr:from>
      <xdr:col>11</xdr:col>
      <xdr:colOff>257175</xdr:colOff>
      <xdr:row>9</xdr:row>
      <xdr:rowOff>114300</xdr:rowOff>
    </xdr:from>
    <xdr:ext cx="3124200" cy="600075"/>
    <xdr:sp>
      <xdr:nvSpPr>
        <xdr:cNvPr id="4" name="pole tekstowe 4"/>
        <xdr:cNvSpPr txBox="1">
          <a:spLocks noChangeArrowheads="1"/>
        </xdr:cNvSpPr>
      </xdr:nvSpPr>
      <xdr:spPr>
        <a:xfrm>
          <a:off x="9439275" y="1571625"/>
          <a:ext cx="3124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_xD835__xDC60_=√((_xD835__xDC60__(_xD835__xDC65_,1)^2)/〖4∗_xD835__xDC5B_〗_(_xD835__xDC65_,1) 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(_xD835__xDC60__(_xD835__xDC65_,2)^2)/〖4∗_xD835__xDC5B_〗_(_xD835__xDC65_,2) +(_xD835__xDC60__(_xD835__xDC66_,1)^2)/〖4∗_xD835__xDC5B_〗_(_xD835__xDC66_,1) +(_xD835__xDC60__(_xD835__xDC66_,2)^2)/〖4∗_xD835__xDC5B_〗_(_xD835__xDC66_,2) )</a:t>
          </a:r>
        </a:p>
      </xdr:txBody>
    </xdr:sp>
    <xdr:clientData/>
  </xdr:oneCellAnchor>
  <xdr:oneCellAnchor>
    <xdr:from>
      <xdr:col>12</xdr:col>
      <xdr:colOff>485775</xdr:colOff>
      <xdr:row>5</xdr:row>
      <xdr:rowOff>76200</xdr:rowOff>
    </xdr:from>
    <xdr:ext cx="914400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10429875" y="8858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428625</xdr:colOff>
      <xdr:row>6</xdr:row>
      <xdr:rowOff>142875</xdr:rowOff>
    </xdr:from>
    <xdr:ext cx="2085975" cy="438150"/>
    <xdr:sp>
      <xdr:nvSpPr>
        <xdr:cNvPr id="6" name="pole tekstowe 6"/>
        <xdr:cNvSpPr txBox="1">
          <a:spLocks noChangeArrowheads="1"/>
        </xdr:cNvSpPr>
      </xdr:nvSpPr>
      <xdr:spPr>
        <a:xfrm>
          <a:off x="9610725" y="1114425"/>
          <a:ext cx="2085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_xD835__xDC51__xD835__xDC56__xD835__xDC53__xD835__xDC53_=((_xD835__xDC65__1 ) ̅+(_xD835__xDC65__2 ) ̅)/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2−(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(_xD835__xDC66__1 ) ̅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(_xD835__xDC66__2 ) ̅)/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</a:p>
      </xdr:txBody>
    </xdr:sp>
    <xdr:clientData/>
  </xdr:oneCellAnchor>
  <xdr:oneCellAnchor>
    <xdr:from>
      <xdr:col>3</xdr:col>
      <xdr:colOff>171450</xdr:colOff>
      <xdr:row>26</xdr:row>
      <xdr:rowOff>142875</xdr:rowOff>
    </xdr:from>
    <xdr:ext cx="2762250" cy="428625"/>
    <xdr:sp>
      <xdr:nvSpPr>
        <xdr:cNvPr id="7" name="pole tekstowe 7"/>
        <xdr:cNvSpPr txBox="1">
          <a:spLocks noChangeArrowheads="1"/>
        </xdr:cNvSpPr>
      </xdr:nvSpPr>
      <xdr:spPr>
        <a:xfrm>
          <a:off x="2933700" y="4352925"/>
          <a:ext cx="2762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_xD835__xDC36__xD835__xDC3F_=(((_xD835__xDC65__1 ) ̅+(_xD835__xDC65__2 ) ̅ ))/2−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(((_xD835__xDC66__1 ) ̅+(_xD835__xDC66__2 ) ̅ ))/2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±_xD835__xDC61__(1−2∙_xD835__xDEFC_;_xD835__xDF17_)∙_xD835__xDC60_</a:t>
          </a:r>
        </a:p>
      </xdr:txBody>
    </xdr:sp>
    <xdr:clientData/>
  </xdr:oneCellAnchor>
  <xdr:oneCellAnchor>
    <xdr:from>
      <xdr:col>1</xdr:col>
      <xdr:colOff>57150</xdr:colOff>
      <xdr:row>23</xdr:row>
      <xdr:rowOff>133350</xdr:rowOff>
    </xdr:from>
    <xdr:ext cx="304800" cy="266700"/>
    <xdr:sp>
      <xdr:nvSpPr>
        <xdr:cNvPr id="8" name="pole tekstowe 8"/>
        <xdr:cNvSpPr txBox="1">
          <a:spLocks noChangeArrowheads="1"/>
        </xdr:cNvSpPr>
      </xdr:nvSpPr>
      <xdr:spPr>
        <a:xfrm>
          <a:off x="1057275" y="38576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_xD835__xDF17_</a:t>
          </a:r>
        </a:p>
      </xdr:txBody>
    </xdr:sp>
    <xdr:clientData/>
  </xdr:oneCellAnchor>
  <xdr:oneCellAnchor>
    <xdr:from>
      <xdr:col>9</xdr:col>
      <xdr:colOff>285750</xdr:colOff>
      <xdr:row>23</xdr:row>
      <xdr:rowOff>123825</xdr:rowOff>
    </xdr:from>
    <xdr:ext cx="304800" cy="266700"/>
    <xdr:sp>
      <xdr:nvSpPr>
        <xdr:cNvPr id="9" name="pole tekstowe 9"/>
        <xdr:cNvSpPr txBox="1">
          <a:spLocks noChangeArrowheads="1"/>
        </xdr:cNvSpPr>
      </xdr:nvSpPr>
      <xdr:spPr>
        <a:xfrm>
          <a:off x="7820025" y="38481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_xD835__xDF17_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1247775</xdr:colOff>
      <xdr:row>4</xdr:row>
      <xdr:rowOff>114300</xdr:rowOff>
    </xdr:from>
    <xdr:ext cx="609600" cy="304800"/>
    <xdr:sp>
      <xdr:nvSpPr>
        <xdr:cNvPr id="1" name="pole tekstowe 1"/>
        <xdr:cNvSpPr txBox="1">
          <a:spLocks noChangeArrowheads="1"/>
        </xdr:cNvSpPr>
      </xdr:nvSpPr>
      <xdr:spPr>
        <a:xfrm>
          <a:off x="5295900" y="76200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461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s√(2/n)</a:t>
          </a:r>
        </a:p>
      </xdr:txBody>
    </xdr:sp>
    <xdr:clientData/>
  </xdr:oneCellAnchor>
  <xdr:oneCellAnchor>
    <xdr:from>
      <xdr:col>1</xdr:col>
      <xdr:colOff>323850</xdr:colOff>
      <xdr:row>27</xdr:row>
      <xdr:rowOff>123825</xdr:rowOff>
    </xdr:from>
    <xdr:ext cx="304800" cy="266700"/>
    <xdr:sp>
      <xdr:nvSpPr>
        <xdr:cNvPr id="2" name="pole tekstowe 2"/>
        <xdr:cNvSpPr txBox="1">
          <a:spLocks noChangeArrowheads="1"/>
        </xdr:cNvSpPr>
      </xdr:nvSpPr>
      <xdr:spPr>
        <a:xfrm>
          <a:off x="1057275" y="4495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_xD835__xDF17_</a:t>
          </a:r>
        </a:p>
      </xdr:txBody>
    </xdr:sp>
    <xdr:clientData/>
  </xdr:oneCellAnchor>
  <xdr:twoCellAnchor>
    <xdr:from>
      <xdr:col>8</xdr:col>
      <xdr:colOff>371475</xdr:colOff>
      <xdr:row>40</xdr:row>
      <xdr:rowOff>66675</xdr:rowOff>
    </xdr:from>
    <xdr:to>
      <xdr:col>14</xdr:col>
      <xdr:colOff>504825</xdr:colOff>
      <xdr:row>53</xdr:row>
      <xdr:rowOff>95250</xdr:rowOff>
    </xdr:to>
    <xdr:graphicFrame>
      <xdr:nvGraphicFramePr>
        <xdr:cNvPr id="3" name="Diagramm 6"/>
        <xdr:cNvGraphicFramePr/>
      </xdr:nvGraphicFramePr>
      <xdr:xfrm>
        <a:off x="7343775" y="6572250"/>
        <a:ext cx="47053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1104900</xdr:colOff>
      <xdr:row>27</xdr:row>
      <xdr:rowOff>104775</xdr:rowOff>
    </xdr:from>
    <xdr:ext cx="276225" cy="266700"/>
    <xdr:sp>
      <xdr:nvSpPr>
        <xdr:cNvPr id="4" name="pole tekstowe 4"/>
        <xdr:cNvSpPr txBox="1">
          <a:spLocks noChangeArrowheads="1"/>
        </xdr:cNvSpPr>
      </xdr:nvSpPr>
      <xdr:spPr>
        <a:xfrm>
          <a:off x="5153025" y="4476750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_xD835__xDF17_</a:t>
          </a:r>
        </a:p>
      </xdr:txBody>
    </xdr:sp>
    <xdr:clientData/>
  </xdr:oneCellAnchor>
  <xdr:twoCellAnchor>
    <xdr:from>
      <xdr:col>8</xdr:col>
      <xdr:colOff>409575</xdr:colOff>
      <xdr:row>57</xdr:row>
      <xdr:rowOff>123825</xdr:rowOff>
    </xdr:from>
    <xdr:to>
      <xdr:col>14</xdr:col>
      <xdr:colOff>542925</xdr:colOff>
      <xdr:row>70</xdr:row>
      <xdr:rowOff>152400</xdr:rowOff>
    </xdr:to>
    <xdr:graphicFrame>
      <xdr:nvGraphicFramePr>
        <xdr:cNvPr id="5" name="Diagramm 6"/>
        <xdr:cNvGraphicFramePr/>
      </xdr:nvGraphicFramePr>
      <xdr:xfrm>
        <a:off x="7381875" y="9382125"/>
        <a:ext cx="470535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647700</xdr:colOff>
      <xdr:row>1</xdr:row>
      <xdr:rowOff>66675</xdr:rowOff>
    </xdr:from>
    <xdr:ext cx="609600" cy="428625"/>
    <xdr:sp>
      <xdr:nvSpPr>
        <xdr:cNvPr id="6" name="pole tekstowe 6"/>
        <xdr:cNvSpPr txBox="1">
          <a:spLocks noChangeArrowheads="1"/>
        </xdr:cNvSpPr>
      </xdr:nvSpPr>
      <xdr:spPr>
        <a:xfrm>
          <a:off x="1381125" y="228600"/>
          <a:ext cx="609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_xD835__xDC60_√(2/_xD835__xDC5B_)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32</xdr:row>
      <xdr:rowOff>114300</xdr:rowOff>
    </xdr:from>
    <xdr:to>
      <xdr:col>18</xdr:col>
      <xdr:colOff>19050</xdr:colOff>
      <xdr:row>45</xdr:row>
      <xdr:rowOff>142875</xdr:rowOff>
    </xdr:to>
    <xdr:graphicFrame>
      <xdr:nvGraphicFramePr>
        <xdr:cNvPr id="1" name="Diagramm 6"/>
        <xdr:cNvGraphicFramePr/>
      </xdr:nvGraphicFramePr>
      <xdr:xfrm>
        <a:off x="9963150" y="5295900"/>
        <a:ext cx="48196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49</xdr:row>
      <xdr:rowOff>0</xdr:rowOff>
    </xdr:from>
    <xdr:to>
      <xdr:col>18</xdr:col>
      <xdr:colOff>0</xdr:colOff>
      <xdr:row>62</xdr:row>
      <xdr:rowOff>19050</xdr:rowOff>
    </xdr:to>
    <xdr:graphicFrame>
      <xdr:nvGraphicFramePr>
        <xdr:cNvPr id="2" name="Diagramm 1"/>
        <xdr:cNvGraphicFramePr/>
      </xdr:nvGraphicFramePr>
      <xdr:xfrm>
        <a:off x="9944100" y="7934325"/>
        <a:ext cx="48196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495300</xdr:colOff>
      <xdr:row>14</xdr:row>
      <xdr:rowOff>0</xdr:rowOff>
    </xdr:from>
    <xdr:ext cx="5791200" cy="1095375"/>
    <xdr:sp>
      <xdr:nvSpPr>
        <xdr:cNvPr id="3" name="pole tekstowe 3"/>
        <xdr:cNvSpPr txBox="1">
          <a:spLocks noChangeArrowheads="1"/>
        </xdr:cNvSpPr>
      </xdr:nvSpPr>
      <xdr:spPr>
        <a:xfrm>
          <a:off x="8915400" y="2266950"/>
          <a:ext cx="5791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_xD835__xDF17_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=((_xD835__xDC60__(_xD835__xDC65_,1)^2)/〖4∗_xD835__xDC5B_〗_(_xD835__xDC65_,1) +(_xD835__xDC60__(_xD835__xDC65_,2)^2)/〖4∗_xD835__xDC5B_〗_(_xD835__xDC65_,2) 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(_xD835__xDC60__(_xD835__xDC66_,1)^2)/(4∗_xD835__xDC5B__(_xD835__xDC66_,1) )+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_xD835__xDC60_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_xD835__xDC66_,2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4∗_xD835__xDC5B_〗_(_xD835__xDC66_,2) )^2/((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_xD835__xDC60_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_xD835__xDC65_,1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16∗_xD835__xDC5B_〗_(_xD835__xDC65_,1)^2 (_xD835__xDC5B__(_xD835__xDC65_,1)−1)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(_xD835__xDC60__(_xD835__xDC65_,2)^4)/(〖16∗_xD835__xDC5B_〗_(_xD835__xDC65_,2)^2 (_xD835__xDC5B__(_xD835__xDC65_,2)−1) )+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_xD835__xDC60_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_xD835__xDC66_,1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16∗_xD835__xDC5B_〗_(_xD835__xDC66_,1)^2 (_xD835__xDC5B__(_xD835__xDC66_,1)−1)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+(_xD835__xDC60__(_xD835__xDC66_,2)^4)/(〖16∗_xD835__xDC5B_〗_(_xD835__xDC66_,2)^2 (_xD835__xDC5B__(_xD835__xDC66_,2)−1) ))</a:t>
          </a:r>
        </a:p>
      </xdr:txBody>
    </xdr:sp>
    <xdr:clientData/>
  </xdr:oneCellAnchor>
  <xdr:oneCellAnchor>
    <xdr:from>
      <xdr:col>11</xdr:col>
      <xdr:colOff>257175</xdr:colOff>
      <xdr:row>9</xdr:row>
      <xdr:rowOff>114300</xdr:rowOff>
    </xdr:from>
    <xdr:ext cx="3124200" cy="600075"/>
    <xdr:sp>
      <xdr:nvSpPr>
        <xdr:cNvPr id="4" name="pole tekstowe 4"/>
        <xdr:cNvSpPr txBox="1">
          <a:spLocks noChangeArrowheads="1"/>
        </xdr:cNvSpPr>
      </xdr:nvSpPr>
      <xdr:spPr>
        <a:xfrm>
          <a:off x="9439275" y="1571625"/>
          <a:ext cx="3124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_xD835__xDC60_=√((_xD835__xDC60__(_xD835__xDC65_,1)^2)/〖4∗_xD835__xDC5B_〗_(_xD835__xDC65_,1) 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(_xD835__xDC60__(_xD835__xDC65_,2)^2)/〖4∗_xD835__xDC5B_〗_(_xD835__xDC65_,2) +(_xD835__xDC60__(_xD835__xDC66_,1)^2)/〖4∗_xD835__xDC5B_〗_(_xD835__xDC66_,1) +(_xD835__xDC60__(_xD835__xDC66_,2)^2)/〖4∗_xD835__xDC5B_〗_(_xD835__xDC66_,2) )</a:t>
          </a:r>
        </a:p>
      </xdr:txBody>
    </xdr:sp>
    <xdr:clientData/>
  </xdr:oneCellAnchor>
  <xdr:oneCellAnchor>
    <xdr:from>
      <xdr:col>12</xdr:col>
      <xdr:colOff>485775</xdr:colOff>
      <xdr:row>5</xdr:row>
      <xdr:rowOff>76200</xdr:rowOff>
    </xdr:from>
    <xdr:ext cx="914400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10429875" y="8858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428625</xdr:colOff>
      <xdr:row>6</xdr:row>
      <xdr:rowOff>142875</xdr:rowOff>
    </xdr:from>
    <xdr:ext cx="2085975" cy="438150"/>
    <xdr:sp>
      <xdr:nvSpPr>
        <xdr:cNvPr id="6" name="pole tekstowe 6"/>
        <xdr:cNvSpPr txBox="1">
          <a:spLocks noChangeArrowheads="1"/>
        </xdr:cNvSpPr>
      </xdr:nvSpPr>
      <xdr:spPr>
        <a:xfrm>
          <a:off x="9610725" y="1114425"/>
          <a:ext cx="2085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_xD835__xDC51__xD835__xDC56__xD835__xDC53__xD835__xDC53_=((_xD835__xDC65__1 ) ̅+(_xD835__xDC65__2 ) ̅)/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2−(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(_xD835__xDC66__1 ) ̅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(_xD835__xDC66__2 ) ̅)/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</a:p>
      </xdr:txBody>
    </xdr:sp>
    <xdr:clientData/>
  </xdr:oneCellAnchor>
  <xdr:oneCellAnchor>
    <xdr:from>
      <xdr:col>3</xdr:col>
      <xdr:colOff>171450</xdr:colOff>
      <xdr:row>26</xdr:row>
      <xdr:rowOff>142875</xdr:rowOff>
    </xdr:from>
    <xdr:ext cx="2762250" cy="428625"/>
    <xdr:sp>
      <xdr:nvSpPr>
        <xdr:cNvPr id="7" name="pole tekstowe 7"/>
        <xdr:cNvSpPr txBox="1">
          <a:spLocks noChangeArrowheads="1"/>
        </xdr:cNvSpPr>
      </xdr:nvSpPr>
      <xdr:spPr>
        <a:xfrm>
          <a:off x="2933700" y="4352925"/>
          <a:ext cx="2762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_xD835__xDC36__xD835__xDC3F_=(((_xD835__xDC65__1 ) ̅+(_xD835__xDC65__2 ) ̅ ))/2−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(((_xD835__xDC66__1 ) ̅+(_xD835__xDC66__2 ) ̅ ))/2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±_xD835__xDC61__(1−2∙_xD835__xDEFC_;_xD835__xDF17_)∙_xD835__xDC60_</a:t>
          </a:r>
        </a:p>
      </xdr:txBody>
    </xdr:sp>
    <xdr:clientData/>
  </xdr:oneCellAnchor>
  <xdr:oneCellAnchor>
    <xdr:from>
      <xdr:col>1</xdr:col>
      <xdr:colOff>57150</xdr:colOff>
      <xdr:row>23</xdr:row>
      <xdr:rowOff>133350</xdr:rowOff>
    </xdr:from>
    <xdr:ext cx="304800" cy="266700"/>
    <xdr:sp>
      <xdr:nvSpPr>
        <xdr:cNvPr id="8" name="pole tekstowe 8"/>
        <xdr:cNvSpPr txBox="1">
          <a:spLocks noChangeArrowheads="1"/>
        </xdr:cNvSpPr>
      </xdr:nvSpPr>
      <xdr:spPr>
        <a:xfrm>
          <a:off x="1057275" y="38576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_xD835__xDF17_</a:t>
          </a:r>
        </a:p>
      </xdr:txBody>
    </xdr:sp>
    <xdr:clientData/>
  </xdr:oneCellAnchor>
  <xdr:oneCellAnchor>
    <xdr:from>
      <xdr:col>9</xdr:col>
      <xdr:colOff>285750</xdr:colOff>
      <xdr:row>23</xdr:row>
      <xdr:rowOff>123825</xdr:rowOff>
    </xdr:from>
    <xdr:ext cx="304800" cy="266700"/>
    <xdr:sp>
      <xdr:nvSpPr>
        <xdr:cNvPr id="9" name="pole tekstowe 9"/>
        <xdr:cNvSpPr txBox="1">
          <a:spLocks noChangeArrowheads="1"/>
        </xdr:cNvSpPr>
      </xdr:nvSpPr>
      <xdr:spPr>
        <a:xfrm>
          <a:off x="7820025" y="38481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_xD835__xDF17_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1247775</xdr:colOff>
      <xdr:row>4</xdr:row>
      <xdr:rowOff>114300</xdr:rowOff>
    </xdr:from>
    <xdr:ext cx="609600" cy="304800"/>
    <xdr:sp>
      <xdr:nvSpPr>
        <xdr:cNvPr id="1" name="pole tekstowe 1"/>
        <xdr:cNvSpPr txBox="1">
          <a:spLocks noChangeArrowheads="1"/>
        </xdr:cNvSpPr>
      </xdr:nvSpPr>
      <xdr:spPr>
        <a:xfrm>
          <a:off x="5295900" y="76200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461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s√(2/n)</a:t>
          </a:r>
        </a:p>
      </xdr:txBody>
    </xdr:sp>
    <xdr:clientData/>
  </xdr:oneCellAnchor>
  <xdr:oneCellAnchor>
    <xdr:from>
      <xdr:col>1</xdr:col>
      <xdr:colOff>323850</xdr:colOff>
      <xdr:row>27</xdr:row>
      <xdr:rowOff>123825</xdr:rowOff>
    </xdr:from>
    <xdr:ext cx="304800" cy="266700"/>
    <xdr:sp>
      <xdr:nvSpPr>
        <xdr:cNvPr id="2" name="pole tekstowe 2"/>
        <xdr:cNvSpPr txBox="1">
          <a:spLocks noChangeArrowheads="1"/>
        </xdr:cNvSpPr>
      </xdr:nvSpPr>
      <xdr:spPr>
        <a:xfrm>
          <a:off x="1057275" y="4495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_xD835__xDF17_</a:t>
          </a:r>
        </a:p>
      </xdr:txBody>
    </xdr:sp>
    <xdr:clientData/>
  </xdr:oneCellAnchor>
  <xdr:twoCellAnchor>
    <xdr:from>
      <xdr:col>8</xdr:col>
      <xdr:colOff>371475</xdr:colOff>
      <xdr:row>40</xdr:row>
      <xdr:rowOff>66675</xdr:rowOff>
    </xdr:from>
    <xdr:to>
      <xdr:col>14</xdr:col>
      <xdr:colOff>504825</xdr:colOff>
      <xdr:row>53</xdr:row>
      <xdr:rowOff>95250</xdr:rowOff>
    </xdr:to>
    <xdr:graphicFrame>
      <xdr:nvGraphicFramePr>
        <xdr:cNvPr id="3" name="Diagramm 6"/>
        <xdr:cNvGraphicFramePr/>
      </xdr:nvGraphicFramePr>
      <xdr:xfrm>
        <a:off x="7343775" y="6572250"/>
        <a:ext cx="47053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1104900</xdr:colOff>
      <xdr:row>27</xdr:row>
      <xdr:rowOff>104775</xdr:rowOff>
    </xdr:from>
    <xdr:ext cx="276225" cy="266700"/>
    <xdr:sp>
      <xdr:nvSpPr>
        <xdr:cNvPr id="4" name="pole tekstowe 4"/>
        <xdr:cNvSpPr txBox="1">
          <a:spLocks noChangeArrowheads="1"/>
        </xdr:cNvSpPr>
      </xdr:nvSpPr>
      <xdr:spPr>
        <a:xfrm>
          <a:off x="5153025" y="4476750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_xD835__xDF17_</a:t>
          </a:r>
        </a:p>
      </xdr:txBody>
    </xdr:sp>
    <xdr:clientData/>
  </xdr:oneCellAnchor>
  <xdr:twoCellAnchor>
    <xdr:from>
      <xdr:col>8</xdr:col>
      <xdr:colOff>409575</xdr:colOff>
      <xdr:row>57</xdr:row>
      <xdr:rowOff>123825</xdr:rowOff>
    </xdr:from>
    <xdr:to>
      <xdr:col>14</xdr:col>
      <xdr:colOff>542925</xdr:colOff>
      <xdr:row>70</xdr:row>
      <xdr:rowOff>152400</xdr:rowOff>
    </xdr:to>
    <xdr:graphicFrame>
      <xdr:nvGraphicFramePr>
        <xdr:cNvPr id="5" name="Diagramm 6"/>
        <xdr:cNvGraphicFramePr/>
      </xdr:nvGraphicFramePr>
      <xdr:xfrm>
        <a:off x="7381875" y="9382125"/>
        <a:ext cx="470535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647700</xdr:colOff>
      <xdr:row>1</xdr:row>
      <xdr:rowOff>66675</xdr:rowOff>
    </xdr:from>
    <xdr:ext cx="609600" cy="428625"/>
    <xdr:sp>
      <xdr:nvSpPr>
        <xdr:cNvPr id="6" name="pole tekstowe 6"/>
        <xdr:cNvSpPr txBox="1">
          <a:spLocks noChangeArrowheads="1"/>
        </xdr:cNvSpPr>
      </xdr:nvSpPr>
      <xdr:spPr>
        <a:xfrm>
          <a:off x="1381125" y="228600"/>
          <a:ext cx="609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_xD835__xDC60_√(2/_xD835__xDC5B_)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42"/>
  <sheetViews>
    <sheetView zoomScalePageLayoutView="0" workbookViewId="0" topLeftCell="A19">
      <selection activeCell="N40" sqref="N40"/>
    </sheetView>
  </sheetViews>
  <sheetFormatPr defaultColWidth="11.421875" defaultRowHeight="12.75"/>
  <sheetData>
    <row r="4" spans="3:4" ht="12.75">
      <c r="C4" t="s">
        <v>0</v>
      </c>
      <c r="D4" t="s">
        <v>1</v>
      </c>
    </row>
    <row r="5" ht="12.75">
      <c r="E5" t="s">
        <v>16</v>
      </c>
    </row>
    <row r="6" spans="4:6" ht="12.75">
      <c r="D6" t="s">
        <v>2</v>
      </c>
      <c r="E6">
        <v>1</v>
      </c>
      <c r="F6">
        <f>2.8*1.6*SQRT(E6^2-1+1/6)</f>
        <v>1.8289523412781061</v>
      </c>
    </row>
    <row r="8" spans="5:6" ht="12.75">
      <c r="E8">
        <v>1</v>
      </c>
      <c r="F8">
        <f>SQRT(E8^2-1+1/6)</f>
        <v>0.408248290463863</v>
      </c>
    </row>
    <row r="11" spans="3:7" ht="12.75">
      <c r="C11" t="s">
        <v>3</v>
      </c>
      <c r="D11" t="s">
        <v>4</v>
      </c>
      <c r="F11">
        <f>0.4/2.5*100</f>
        <v>16</v>
      </c>
      <c r="G11" t="s">
        <v>5</v>
      </c>
    </row>
    <row r="13" spans="4:6" ht="12.75">
      <c r="D13" t="s">
        <v>14</v>
      </c>
      <c r="F13">
        <f>F6/2.8</f>
        <v>0.6531972647421808</v>
      </c>
    </row>
    <row r="14" spans="4:6" ht="12.75">
      <c r="D14" t="s">
        <v>15</v>
      </c>
      <c r="F14">
        <f>F13*100/2.5</f>
        <v>26.12789058968723</v>
      </c>
    </row>
    <row r="23" ht="12.75">
      <c r="M23" t="s">
        <v>6</v>
      </c>
    </row>
    <row r="24" spans="12:14" ht="12.75">
      <c r="L24" t="s">
        <v>7</v>
      </c>
      <c r="M24">
        <v>101</v>
      </c>
      <c r="N24">
        <v>100.5</v>
      </c>
    </row>
    <row r="25" spans="12:14" ht="12.75">
      <c r="L25" t="s">
        <v>8</v>
      </c>
      <c r="M25">
        <v>1.5</v>
      </c>
      <c r="N25">
        <v>1.7</v>
      </c>
    </row>
    <row r="28" spans="13:14" ht="12.75">
      <c r="M28" t="s">
        <v>9</v>
      </c>
      <c r="N28" t="s">
        <v>10</v>
      </c>
    </row>
    <row r="29" spans="2:15" ht="12.75">
      <c r="B29">
        <f ca="1">NORMINV(RAND(),0,1)</f>
        <v>0.20250156989445256</v>
      </c>
      <c r="C29">
        <f aca="true" ca="1" t="shared" si="0" ref="C29:G39">NORMINV(RAND(),0,1)</f>
        <v>-0.7299592894584759</v>
      </c>
      <c r="D29">
        <f ca="1" t="shared" si="0"/>
        <v>1.0463717818876224</v>
      </c>
      <c r="F29">
        <f ca="1" t="shared" si="0"/>
        <v>-0.3537644736843407</v>
      </c>
      <c r="G29">
        <f ca="1" t="shared" si="0"/>
        <v>-0.23364136850199618</v>
      </c>
      <c r="J29">
        <v>1.5741496290136552</v>
      </c>
      <c r="K29">
        <v>0.20916765615070532</v>
      </c>
      <c r="M29">
        <f aca="true" t="shared" si="1" ref="M29:M34">$M$24+$M$25*J29</f>
        <v>103.36122444352048</v>
      </c>
      <c r="N29">
        <f aca="true" t="shared" si="2" ref="N29:N34">$N$24+$N$25*K29</f>
        <v>100.8555850154562</v>
      </c>
      <c r="O29" t="s">
        <v>11</v>
      </c>
    </row>
    <row r="30" spans="2:14" ht="12.75">
      <c r="B30">
        <f aca="true" ca="1" t="shared" si="3" ref="B30:B39">NORMINV(RAND(),0,1)</f>
        <v>0.07604872724636971</v>
      </c>
      <c r="C30">
        <f ca="1" t="shared" si="0"/>
        <v>-1.415547088107362</v>
      </c>
      <c r="D30">
        <f ca="1" t="shared" si="0"/>
        <v>-1.2404227756272848</v>
      </c>
      <c r="F30">
        <f ca="1" t="shared" si="0"/>
        <v>-2.1589262993833493</v>
      </c>
      <c r="G30">
        <f ca="1" t="shared" si="0"/>
        <v>-0.4171903618916576</v>
      </c>
      <c r="J30">
        <v>-0.9068933157586534</v>
      </c>
      <c r="K30">
        <v>-0.3358641302187484</v>
      </c>
      <c r="M30">
        <f t="shared" si="1"/>
        <v>99.63966002636202</v>
      </c>
      <c r="N30">
        <f t="shared" si="2"/>
        <v>99.92903097862813</v>
      </c>
    </row>
    <row r="31" spans="2:14" ht="12.75">
      <c r="B31">
        <f ca="1" t="shared" si="3"/>
        <v>0.7481602965075631</v>
      </c>
      <c r="C31">
        <f ca="1" t="shared" si="0"/>
        <v>0.6782656623480359</v>
      </c>
      <c r="D31">
        <f ca="1" t="shared" si="0"/>
        <v>-0.6374980996355304</v>
      </c>
      <c r="F31">
        <f ca="1" t="shared" si="0"/>
        <v>-1.168849784447688</v>
      </c>
      <c r="G31">
        <f ca="1" t="shared" si="0"/>
        <v>-0.6274934058789168</v>
      </c>
      <c r="J31">
        <v>0.7862859671180911</v>
      </c>
      <c r="K31">
        <v>0.10300953392820925</v>
      </c>
      <c r="M31">
        <f t="shared" si="1"/>
        <v>102.17942895067713</v>
      </c>
      <c r="N31">
        <f t="shared" si="2"/>
        <v>100.67511620767796</v>
      </c>
    </row>
    <row r="32" spans="2:14" ht="12.75">
      <c r="B32">
        <f ca="1" t="shared" si="3"/>
        <v>-0.971234854121513</v>
      </c>
      <c r="C32">
        <f ca="1" t="shared" si="0"/>
        <v>-2.1112790861949984</v>
      </c>
      <c r="D32">
        <f ca="1" t="shared" si="0"/>
        <v>1.020849459831724</v>
      </c>
      <c r="F32">
        <f ca="1" t="shared" si="0"/>
        <v>-1.60357741111617</v>
      </c>
      <c r="G32">
        <f ca="1" t="shared" si="0"/>
        <v>-0.0156825150055035</v>
      </c>
      <c r="J32">
        <v>-0.019074360136613816</v>
      </c>
      <c r="K32">
        <v>0.21706936944126998</v>
      </c>
      <c r="M32">
        <f t="shared" si="1"/>
        <v>100.97138845979508</v>
      </c>
      <c r="N32">
        <f t="shared" si="2"/>
        <v>100.86901792805016</v>
      </c>
    </row>
    <row r="33" spans="2:14" ht="12.75">
      <c r="B33">
        <f ca="1" t="shared" si="3"/>
        <v>-0.8815826693286677</v>
      </c>
      <c r="C33">
        <f ca="1" t="shared" si="0"/>
        <v>-0.11455626765019006</v>
      </c>
      <c r="D33">
        <f ca="1" t="shared" si="0"/>
        <v>-0.6829099329296178</v>
      </c>
      <c r="F33">
        <f ca="1" t="shared" si="0"/>
        <v>0.6084915748288684</v>
      </c>
      <c r="G33">
        <f ca="1" t="shared" si="0"/>
        <v>0.5872334802043906</v>
      </c>
      <c r="J33">
        <v>-0.7989431312334698</v>
      </c>
      <c r="K33">
        <v>-0.6628456321769831</v>
      </c>
      <c r="M33">
        <f t="shared" si="1"/>
        <v>99.80158530314979</v>
      </c>
      <c r="N33">
        <f t="shared" si="2"/>
        <v>99.37316242529913</v>
      </c>
    </row>
    <row r="34" spans="2:14" ht="12.75">
      <c r="B34">
        <f ca="1" t="shared" si="3"/>
        <v>0.2724179372113036</v>
      </c>
      <c r="C34">
        <f ca="1" t="shared" si="0"/>
        <v>-0.5746950973629081</v>
      </c>
      <c r="D34">
        <f ca="1" t="shared" si="0"/>
        <v>-0.05200502784129907</v>
      </c>
      <c r="F34">
        <f ca="1" t="shared" si="0"/>
        <v>-0.8544840393710704</v>
      </c>
      <c r="G34">
        <f ca="1" t="shared" si="0"/>
        <v>1.0554710172837574</v>
      </c>
      <c r="J34">
        <v>-0.7382955949134677</v>
      </c>
      <c r="K34">
        <v>2.2390480032162925</v>
      </c>
      <c r="M34">
        <f t="shared" si="1"/>
        <v>99.8925566076298</v>
      </c>
      <c r="N34">
        <f t="shared" si="2"/>
        <v>104.30638160546769</v>
      </c>
    </row>
    <row r="35" spans="2:14" ht="12.75">
      <c r="B35">
        <f ca="1" t="shared" si="3"/>
        <v>1.0036970601317088</v>
      </c>
      <c r="C35">
        <f ca="1" t="shared" si="0"/>
        <v>0.2744032480123916</v>
      </c>
      <c r="D35">
        <f ca="1" t="shared" si="0"/>
        <v>1.5603940128132687</v>
      </c>
      <c r="F35">
        <f ca="1" t="shared" si="0"/>
        <v>0.4276927534317584</v>
      </c>
      <c r="G35">
        <f ca="1" t="shared" si="0"/>
        <v>-0.7029219627464953</v>
      </c>
      <c r="M35">
        <f>ROUND(AVERAGE(M29:M34),2)</f>
        <v>100.97</v>
      </c>
      <c r="N35">
        <f>ROUND(AVERAGE(N29:N34),2)</f>
        <v>101</v>
      </c>
    </row>
    <row r="36" spans="2:14" ht="12.75">
      <c r="B36">
        <f ca="1" t="shared" si="3"/>
        <v>-0.26853019211675444</v>
      </c>
      <c r="C36">
        <f ca="1" t="shared" si="0"/>
        <v>0.6816667640352119</v>
      </c>
      <c r="D36">
        <f ca="1" t="shared" si="0"/>
        <v>-1.695504698702618</v>
      </c>
      <c r="F36">
        <f ca="1" t="shared" si="0"/>
        <v>-0.6792220166279515</v>
      </c>
      <c r="G36">
        <f ca="1" t="shared" si="0"/>
        <v>0.7589335267371464</v>
      </c>
      <c r="M36">
        <f>ROUND(STDEV(M29:M34),2)</f>
        <v>1.52</v>
      </c>
      <c r="N36">
        <f>ROUND(STDEV(N29:N34),2)</f>
        <v>1.72</v>
      </c>
    </row>
    <row r="37" spans="2:14" ht="12.75">
      <c r="B37">
        <f ca="1" t="shared" si="3"/>
        <v>0.19752859648739107</v>
      </c>
      <c r="C37">
        <f ca="1" t="shared" si="0"/>
        <v>1.3408521982754338</v>
      </c>
      <c r="D37">
        <f ca="1" t="shared" si="0"/>
        <v>-0.14852382291725696</v>
      </c>
      <c r="F37">
        <f ca="1" t="shared" si="0"/>
        <v>0.5890392813345344</v>
      </c>
      <c r="G37">
        <f ca="1" t="shared" si="0"/>
        <v>0.19942423219899108</v>
      </c>
      <c r="M37" s="1">
        <f>M36/M35</f>
        <v>0.01505397642864217</v>
      </c>
      <c r="N37" s="1">
        <f>N36/N35</f>
        <v>0.01702970297029703</v>
      </c>
    </row>
    <row r="38" spans="2:7" ht="12.75">
      <c r="B38">
        <f ca="1" t="shared" si="3"/>
        <v>0.6460170644359233</v>
      </c>
      <c r="C38">
        <f ca="1" t="shared" si="0"/>
        <v>0.5752756011997215</v>
      </c>
      <c r="D38">
        <f ca="1" t="shared" si="0"/>
        <v>-2.366563172394578</v>
      </c>
      <c r="F38">
        <f ca="1" t="shared" si="0"/>
        <v>-1.0576172244857265</v>
      </c>
      <c r="G38">
        <f ca="1" t="shared" si="0"/>
        <v>0.19346688889343455</v>
      </c>
    </row>
    <row r="39" spans="2:14" ht="12.75">
      <c r="B39">
        <f ca="1" t="shared" si="3"/>
        <v>-0.3425556747372406</v>
      </c>
      <c r="C39">
        <f ca="1" t="shared" si="0"/>
        <v>0.7732171878274123</v>
      </c>
      <c r="D39">
        <f ca="1" t="shared" si="0"/>
        <v>-0.2904611091888494</v>
      </c>
      <c r="F39">
        <f ca="1" t="shared" si="0"/>
        <v>-0.5363900120170406</v>
      </c>
      <c r="G39">
        <f ca="1" t="shared" si="0"/>
        <v>-0.2670545008868046</v>
      </c>
      <c r="L39" t="s">
        <v>12</v>
      </c>
      <c r="N39" s="1">
        <v>0.0161</v>
      </c>
    </row>
    <row r="40" spans="12:14" ht="12.75">
      <c r="L40" t="s">
        <v>13</v>
      </c>
      <c r="N40" s="1">
        <v>0.0161</v>
      </c>
    </row>
    <row r="42" spans="12:15" ht="12.75">
      <c r="L42" t="s">
        <v>14</v>
      </c>
      <c r="N42">
        <f>SQRT(N40^2-N39^2*(1-1/6))</f>
        <v>0.006572797476468193</v>
      </c>
      <c r="O42">
        <f>STDEV(M35,N35)</f>
        <v>0.02121320343559723</v>
      </c>
    </row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6">
      <selection activeCell="F26" sqref="F26:H26"/>
    </sheetView>
  </sheetViews>
  <sheetFormatPr defaultColWidth="11.421875" defaultRowHeight="12.75"/>
  <cols>
    <col min="1" max="1" width="11.00390625" style="0" customWidth="1"/>
    <col min="2" max="2" width="12.00390625" style="0" customWidth="1"/>
    <col min="3" max="3" width="12.28125" style="0" customWidth="1"/>
    <col min="4" max="4" width="12.00390625" style="0" bestFit="1" customWidth="1"/>
    <col min="5" max="5" width="13.421875" style="0" customWidth="1"/>
    <col min="6" max="6" width="20.421875" style="0" customWidth="1"/>
    <col min="7" max="7" width="12.00390625" style="0" bestFit="1" customWidth="1"/>
  </cols>
  <sheetData>
    <row r="1" ht="12.75">
      <c r="A1" s="11" t="s">
        <v>57</v>
      </c>
    </row>
    <row r="3" spans="1:7" ht="12.75">
      <c r="A3" s="17" t="s">
        <v>72</v>
      </c>
      <c r="B3" s="2"/>
      <c r="C3" s="2"/>
      <c r="D3" s="52" t="s">
        <v>73</v>
      </c>
      <c r="E3" s="2"/>
      <c r="F3" s="2"/>
      <c r="G3" s="2"/>
    </row>
    <row r="5" ht="12.75">
      <c r="A5" t="s">
        <v>46</v>
      </c>
    </row>
    <row r="6" spans="3:7" ht="12.75">
      <c r="C6" s="4" t="s">
        <v>24</v>
      </c>
      <c r="E6" s="4" t="s">
        <v>24</v>
      </c>
      <c r="G6" s="11"/>
    </row>
    <row r="7" spans="1:7" ht="12.75">
      <c r="A7" s="11" t="s">
        <v>30</v>
      </c>
      <c r="B7">
        <v>100.68</v>
      </c>
      <c r="C7" s="5">
        <f aca="true" t="shared" si="0" ref="C7:C18">LN(B7)</f>
        <v>4.611947170267115</v>
      </c>
      <c r="D7">
        <v>100.9</v>
      </c>
      <c r="E7" s="5">
        <f>LN(D7)</f>
        <v>4.6141299273595635</v>
      </c>
      <c r="G7" s="53"/>
    </row>
    <row r="8" spans="1:7" ht="12.75">
      <c r="A8" s="11" t="s">
        <v>31</v>
      </c>
      <c r="B8">
        <v>100.15</v>
      </c>
      <c r="C8" s="5">
        <f t="shared" si="0"/>
        <v>4.606669062111827</v>
      </c>
      <c r="D8">
        <v>100.32</v>
      </c>
      <c r="E8" s="5">
        <f aca="true" t="shared" si="1" ref="E8:E18">LN(D8)</f>
        <v>4.608365076884611</v>
      </c>
      <c r="G8" s="53"/>
    </row>
    <row r="9" spans="1:7" ht="12.75">
      <c r="A9" s="11" t="s">
        <v>32</v>
      </c>
      <c r="B9">
        <v>100.91</v>
      </c>
      <c r="C9" s="5">
        <f t="shared" si="0"/>
        <v>4.614229030476437</v>
      </c>
      <c r="D9">
        <v>100.24</v>
      </c>
      <c r="E9" s="5">
        <f t="shared" si="1"/>
        <v>4.607567310587813</v>
      </c>
      <c r="G9" s="53"/>
    </row>
    <row r="10" spans="1:7" ht="12.75">
      <c r="A10" s="11" t="s">
        <v>33</v>
      </c>
      <c r="B10">
        <v>100.29</v>
      </c>
      <c r="C10" s="5">
        <f t="shared" si="0"/>
        <v>4.608065989100117</v>
      </c>
      <c r="D10">
        <v>100.45</v>
      </c>
      <c r="E10" s="5">
        <f t="shared" si="1"/>
        <v>4.609660091260944</v>
      </c>
      <c r="G10" s="53"/>
    </row>
    <row r="11" spans="1:7" ht="12.75">
      <c r="A11" s="11" t="s">
        <v>34</v>
      </c>
      <c r="B11">
        <v>100.47</v>
      </c>
      <c r="C11" s="5">
        <f t="shared" si="0"/>
        <v>4.609859175474223</v>
      </c>
      <c r="D11">
        <v>99.42</v>
      </c>
      <c r="E11" s="5">
        <f t="shared" si="1"/>
        <v>4.599353300666526</v>
      </c>
      <c r="G11" s="53"/>
    </row>
    <row r="12" spans="1:8" ht="12.75">
      <c r="A12" s="11" t="s">
        <v>35</v>
      </c>
      <c r="B12">
        <v>100.08</v>
      </c>
      <c r="C12" s="5">
        <f t="shared" si="0"/>
        <v>4.605969866158656</v>
      </c>
      <c r="D12">
        <v>100.25</v>
      </c>
      <c r="E12" s="5">
        <f t="shared" si="1"/>
        <v>4.6076670661866785</v>
      </c>
      <c r="G12" s="53"/>
      <c r="H12" s="3"/>
    </row>
    <row r="13" spans="1:8" ht="12.75">
      <c r="A13" s="11" t="s">
        <v>36</v>
      </c>
      <c r="B13">
        <v>99.85</v>
      </c>
      <c r="C13" s="5">
        <f t="shared" si="0"/>
        <v>4.603669059861824</v>
      </c>
      <c r="D13">
        <v>99.84</v>
      </c>
      <c r="E13" s="5">
        <f t="shared" si="1"/>
        <v>4.603568904621118</v>
      </c>
      <c r="G13" s="53"/>
      <c r="H13" s="3"/>
    </row>
    <row r="14" spans="1:8" ht="12.75">
      <c r="A14" s="11" t="s">
        <v>37</v>
      </c>
      <c r="B14">
        <v>100.08</v>
      </c>
      <c r="C14" s="5">
        <f t="shared" si="0"/>
        <v>4.605969866158656</v>
      </c>
      <c r="D14">
        <v>99.92</v>
      </c>
      <c r="E14" s="5">
        <f t="shared" si="1"/>
        <v>4.604369865817322</v>
      </c>
      <c r="G14" s="53"/>
      <c r="H14" s="3"/>
    </row>
    <row r="15" spans="1:8" ht="12.75">
      <c r="A15" s="11" t="s">
        <v>38</v>
      </c>
      <c r="B15">
        <v>100.26</v>
      </c>
      <c r="C15" s="5">
        <f t="shared" si="0"/>
        <v>4.607766811835357</v>
      </c>
      <c r="D15">
        <v>99.67</v>
      </c>
      <c r="E15" s="5">
        <f t="shared" si="1"/>
        <v>4.601864728979365</v>
      </c>
      <c r="G15" s="53"/>
      <c r="H15" s="3"/>
    </row>
    <row r="16" spans="1:8" ht="12.75">
      <c r="A16" s="11" t="s">
        <v>39</v>
      </c>
      <c r="B16">
        <v>100.59</v>
      </c>
      <c r="C16" s="5">
        <f t="shared" si="0"/>
        <v>4.611052849146247</v>
      </c>
      <c r="D16">
        <v>99.69</v>
      </c>
      <c r="E16" s="5">
        <f t="shared" si="1"/>
        <v>4.602065371034612</v>
      </c>
      <c r="G16" s="53"/>
      <c r="H16" s="3"/>
    </row>
    <row r="17" spans="1:8" ht="12.75">
      <c r="A17" s="11" t="s">
        <v>40</v>
      </c>
      <c r="B17">
        <v>100.17</v>
      </c>
      <c r="C17" s="5">
        <f t="shared" si="0"/>
        <v>4.606868742623673</v>
      </c>
      <c r="D17">
        <v>100.01</v>
      </c>
      <c r="E17" s="5">
        <f t="shared" si="1"/>
        <v>4.605270180988425</v>
      </c>
      <c r="G17" s="53"/>
      <c r="H17" s="3"/>
    </row>
    <row r="18" spans="1:7" ht="12.75">
      <c r="A18" s="11" t="s">
        <v>41</v>
      </c>
      <c r="B18">
        <v>100.68</v>
      </c>
      <c r="C18" s="5">
        <f t="shared" si="0"/>
        <v>4.611947170267115</v>
      </c>
      <c r="D18">
        <v>100.08</v>
      </c>
      <c r="E18" s="5">
        <f t="shared" si="1"/>
        <v>4.605969866158656</v>
      </c>
      <c r="G18" s="53"/>
    </row>
    <row r="19" spans="1:7" ht="12.75">
      <c r="A19" s="11"/>
      <c r="C19" s="12"/>
      <c r="D19" s="12"/>
      <c r="E19" s="12"/>
      <c r="G19" s="12"/>
    </row>
    <row r="20" spans="1:7" ht="12.75">
      <c r="A20" t="s">
        <v>18</v>
      </c>
      <c r="B20" s="3">
        <f>AVERAGE(B7:B18)</f>
        <v>100.35083333333336</v>
      </c>
      <c r="C20" s="6">
        <f>AVERAGE(C7:C18)</f>
        <v>4.608667899456771</v>
      </c>
      <c r="D20" s="3">
        <f>AVERAGE(D7:D18)</f>
        <v>100.06583333333332</v>
      </c>
      <c r="E20" s="6">
        <f>AVERAGE(E7:E18)</f>
        <v>4.605820974212136</v>
      </c>
      <c r="G20" s="19"/>
    </row>
    <row r="21" spans="1:7" ht="12.75">
      <c r="A21" s="8" t="s">
        <v>23</v>
      </c>
      <c r="B21" s="3">
        <f>_xlfn.STDEV.S(B7:B18)</f>
        <v>0.313816922115525</v>
      </c>
      <c r="C21" s="6">
        <f>_xlfn.STDEV.S(C7:C18)</f>
        <v>0.0031260528634533156</v>
      </c>
      <c r="D21" s="3">
        <f>_xlfn.STDEV.S(D7:D18)</f>
        <v>0.40032846362440805</v>
      </c>
      <c r="E21" s="6">
        <f>_xlfn.STDEV.S(E7:E18)</f>
        <v>0.003997704278809282</v>
      </c>
      <c r="G21" s="19"/>
    </row>
    <row r="22" spans="1:7" ht="12.75">
      <c r="A22" t="s">
        <v>47</v>
      </c>
      <c r="B22">
        <f>VAR(B7:B18)</f>
        <v>0.09848106060606146</v>
      </c>
      <c r="C22" s="10">
        <f>VAR(C7:C18)</f>
        <v>9.772206505104675E-06</v>
      </c>
      <c r="D22">
        <f>VAR(D7:D18)</f>
        <v>0.16026287878787898</v>
      </c>
      <c r="E22" s="10">
        <f>VAR(E7:E18)</f>
        <v>1.5981639500810036E-05</v>
      </c>
      <c r="G22" s="54"/>
    </row>
    <row r="23" spans="1:7" ht="12.75">
      <c r="A23" t="s">
        <v>17</v>
      </c>
      <c r="B23" s="1">
        <f>SQRT(B22)/B20</f>
        <v>0.003127197968283189</v>
      </c>
      <c r="C23" s="7">
        <f>SQRT(C22)/C20</f>
        <v>0.0006782985738290639</v>
      </c>
      <c r="D23" s="1">
        <f>SQRT(D22)/D20</f>
        <v>0.004000650874418423</v>
      </c>
      <c r="E23" s="7">
        <f>SQRT(E22)/E20</f>
        <v>0.0008679677957941302</v>
      </c>
      <c r="G23" s="55"/>
    </row>
    <row r="24" ht="12.75">
      <c r="G24" s="12"/>
    </row>
    <row r="25" ht="12.75">
      <c r="G25" s="12"/>
    </row>
    <row r="26" spans="1:8" ht="12.75">
      <c r="A26" s="17" t="s">
        <v>81</v>
      </c>
      <c r="F26" s="64" t="s">
        <v>92</v>
      </c>
      <c r="G26" s="4"/>
      <c r="H26" s="4"/>
    </row>
    <row r="27" spans="1:7" ht="12.75">
      <c r="A27" s="11" t="s">
        <v>56</v>
      </c>
      <c r="C27" s="19">
        <f>B20-D20</f>
        <v>0.2850000000000392</v>
      </c>
      <c r="F27" s="24" t="s">
        <v>56</v>
      </c>
      <c r="G27" s="6">
        <f>C20-E20</f>
        <v>0.0028469252446345905</v>
      </c>
    </row>
    <row r="28" spans="1:7" ht="12.75">
      <c r="A28" s="17" t="s">
        <v>67</v>
      </c>
      <c r="C28" s="61">
        <f>SQRT((11*B22+11*D22)/(12+12-2))</f>
        <v>0.3596831518113828</v>
      </c>
      <c r="F28" s="65" t="s">
        <v>67</v>
      </c>
      <c r="G28" s="58">
        <f>SQRT((11*C22+11*E22)/(12+12-2))</f>
        <v>0.0035884429775262356</v>
      </c>
    </row>
    <row r="29" spans="1:7" ht="12.75">
      <c r="A29" s="28" t="s">
        <v>82</v>
      </c>
      <c r="C29" s="62">
        <f>12+12-2</f>
        <v>22</v>
      </c>
      <c r="F29" s="41" t="s">
        <v>84</v>
      </c>
      <c r="G29" s="57">
        <f>12+12-2</f>
        <v>22</v>
      </c>
    </row>
    <row r="30" spans="1:13" ht="15">
      <c r="A30" s="28" t="s">
        <v>25</v>
      </c>
      <c r="C30" s="61">
        <f>TINV(0.1,12+12-2)</f>
        <v>1.7171443743802424</v>
      </c>
      <c r="F30" s="41" t="s">
        <v>25</v>
      </c>
      <c r="G30" s="56">
        <f>TINV(0.1,12+12-2)</f>
        <v>1.7171443743802424</v>
      </c>
      <c r="M30" s="66" t="s">
        <v>88</v>
      </c>
    </row>
    <row r="31" spans="3:7" ht="12.75">
      <c r="C31" s="61"/>
      <c r="F31" s="26"/>
      <c r="G31" s="56"/>
    </row>
    <row r="32" spans="1:7" ht="12.75">
      <c r="A32" s="17" t="s">
        <v>26</v>
      </c>
      <c r="C32" s="40">
        <f>C27-C30*C28*SQRT(2/12)</f>
        <v>0.03285446539963521</v>
      </c>
      <c r="F32" s="65" t="s">
        <v>28</v>
      </c>
      <c r="G32" s="32">
        <f>G27-G30*G28*SQRT(2/12)</f>
        <v>0.0003313504438835699</v>
      </c>
    </row>
    <row r="33" spans="1:7" ht="12.75">
      <c r="A33" s="17" t="s">
        <v>27</v>
      </c>
      <c r="C33" s="40">
        <f>C27+C30*C28*SQRT(2/12)</f>
        <v>0.5371455346004432</v>
      </c>
      <c r="F33" s="65" t="s">
        <v>29</v>
      </c>
      <c r="G33" s="32">
        <f>G27+G30*G28*SQRT(2/12)</f>
        <v>0.005362500045385611</v>
      </c>
    </row>
    <row r="34" spans="2:7" ht="12.75">
      <c r="B34" s="61"/>
      <c r="F34" s="26"/>
      <c r="G34" s="56"/>
    </row>
    <row r="35" spans="1:7" ht="12.75">
      <c r="A35" s="17"/>
      <c r="B35" s="12"/>
      <c r="F35" s="65" t="s">
        <v>89</v>
      </c>
      <c r="G35" s="4">
        <f>100*(EXP(G32)-1)</f>
        <v>0.033140534650577536</v>
      </c>
    </row>
    <row r="36" spans="1:7" ht="12.75">
      <c r="A36" s="17"/>
      <c r="B36" s="12"/>
      <c r="F36" s="65" t="s">
        <v>90</v>
      </c>
      <c r="G36" s="4">
        <f>100*(EXP(G33)-1)</f>
        <v>0.5376903984285253</v>
      </c>
    </row>
    <row r="39" spans="1:6" ht="12.75">
      <c r="A39" s="29" t="s">
        <v>59</v>
      </c>
      <c r="D39" s="29"/>
      <c r="E39" s="29"/>
      <c r="F39" s="29"/>
    </row>
    <row r="40" spans="1:10" ht="12.75">
      <c r="A40" s="29">
        <v>2.5</v>
      </c>
      <c r="D40" s="29"/>
      <c r="E40" s="29"/>
      <c r="F40" s="29"/>
      <c r="J40" s="18" t="s">
        <v>75</v>
      </c>
    </row>
    <row r="41" spans="2:6" ht="12.75">
      <c r="B41" s="29"/>
      <c r="C41" s="29"/>
      <c r="D41" s="29"/>
      <c r="E41" s="29"/>
      <c r="F41" s="29"/>
    </row>
    <row r="42" spans="2:11" ht="12.75">
      <c r="B42" s="29"/>
      <c r="C42" s="29"/>
      <c r="D42" s="29"/>
      <c r="E42" s="29" t="s">
        <v>62</v>
      </c>
      <c r="F42" s="29"/>
      <c r="G42" s="29"/>
      <c r="H42" s="29"/>
      <c r="J42" s="29"/>
      <c r="K42" s="29"/>
    </row>
    <row r="43" spans="2:11" ht="12.75">
      <c r="B43" s="29"/>
      <c r="C43" s="29"/>
      <c r="D43" s="29" t="s">
        <v>60</v>
      </c>
      <c r="E43" s="29">
        <f>-A40</f>
        <v>-2.5</v>
      </c>
      <c r="F43" s="29">
        <f>A40</f>
        <v>2.5</v>
      </c>
      <c r="G43" s="29">
        <f>C32</f>
        <v>0.03285446539963521</v>
      </c>
      <c r="H43" s="29">
        <f>C33</f>
        <v>0.5371455346004432</v>
      </c>
      <c r="J43" s="29"/>
      <c r="K43" s="29"/>
    </row>
    <row r="44" spans="3:11" ht="12.75">
      <c r="C44" s="29"/>
      <c r="D44" s="29" t="s">
        <v>61</v>
      </c>
      <c r="E44" s="29">
        <v>1</v>
      </c>
      <c r="F44" s="29">
        <v>1</v>
      </c>
      <c r="G44" s="29">
        <v>1.5</v>
      </c>
      <c r="H44" s="29">
        <v>1.5</v>
      </c>
      <c r="J44" s="29"/>
      <c r="K44" s="29"/>
    </row>
    <row r="45" spans="3:11" ht="12.75">
      <c r="C45" s="29"/>
      <c r="D45" s="29"/>
      <c r="E45" s="29"/>
      <c r="F45" s="29"/>
      <c r="G45" s="29"/>
      <c r="H45" s="29"/>
      <c r="I45" s="29"/>
      <c r="J45" s="29"/>
      <c r="K45" s="29"/>
    </row>
    <row r="46" spans="3:11" ht="12.75">
      <c r="C46" s="29"/>
      <c r="D46" s="29"/>
      <c r="E46" s="29"/>
      <c r="F46" s="29"/>
      <c r="G46" s="29"/>
      <c r="H46" s="29"/>
      <c r="I46" s="29"/>
      <c r="J46" s="29"/>
      <c r="K46" s="29"/>
    </row>
    <row r="47" spans="3:11" ht="12.75">
      <c r="C47" s="29"/>
      <c r="D47" s="29"/>
      <c r="E47" s="29"/>
      <c r="F47" s="29"/>
      <c r="G47" s="29"/>
      <c r="H47" s="29"/>
      <c r="I47" s="29"/>
      <c r="J47" s="29"/>
      <c r="K47" s="29"/>
    </row>
    <row r="48" spans="3:11" ht="12.75">
      <c r="C48" s="29"/>
      <c r="D48" s="29"/>
      <c r="E48" s="29"/>
      <c r="F48" s="29"/>
      <c r="G48" s="29"/>
      <c r="H48" s="29"/>
      <c r="I48" s="29"/>
      <c r="J48" s="29"/>
      <c r="K48" s="29"/>
    </row>
    <row r="49" spans="3:11" ht="12.75">
      <c r="C49" s="29"/>
      <c r="D49" s="29"/>
      <c r="E49" s="29"/>
      <c r="F49" s="29"/>
      <c r="G49" s="29"/>
      <c r="H49" s="29"/>
      <c r="I49" s="29"/>
      <c r="J49" s="29"/>
      <c r="K49" s="29"/>
    </row>
    <row r="50" spans="3:11" ht="12.75">
      <c r="C50" s="29"/>
      <c r="D50" s="29"/>
      <c r="E50" s="29"/>
      <c r="F50" s="29"/>
      <c r="G50" s="29"/>
      <c r="H50" s="29"/>
      <c r="I50" s="29"/>
      <c r="J50" s="29"/>
      <c r="K50" s="29"/>
    </row>
    <row r="51" spans="3:11" ht="12.75">
      <c r="C51" s="29"/>
      <c r="D51" s="29"/>
      <c r="E51" s="29"/>
      <c r="F51" s="29"/>
      <c r="G51" s="29"/>
      <c r="H51" s="29"/>
      <c r="I51" s="29"/>
      <c r="J51" s="29"/>
      <c r="K51" s="29"/>
    </row>
    <row r="52" spans="3:11" ht="12.75">
      <c r="C52" s="29"/>
      <c r="D52" s="29"/>
      <c r="E52" s="29"/>
      <c r="F52" s="29"/>
      <c r="G52" s="29"/>
      <c r="H52" s="29"/>
      <c r="I52" s="29"/>
      <c r="J52" s="29"/>
      <c r="K52" s="29"/>
    </row>
    <row r="53" spans="3:11" ht="12.75">
      <c r="C53" s="29"/>
      <c r="D53" s="29"/>
      <c r="E53" s="29"/>
      <c r="F53" s="29"/>
      <c r="G53" s="29"/>
      <c r="H53" s="40"/>
      <c r="I53" s="40"/>
      <c r="J53" s="40"/>
      <c r="K53" s="40"/>
    </row>
    <row r="54" spans="3:11" ht="12.75">
      <c r="C54" s="29"/>
      <c r="D54" s="29"/>
      <c r="E54" s="29"/>
      <c r="F54" s="29"/>
      <c r="G54" s="29"/>
      <c r="H54" s="40"/>
      <c r="I54" s="40"/>
      <c r="J54" s="40"/>
      <c r="K54" s="40"/>
    </row>
    <row r="55" spans="3:11" ht="12.75">
      <c r="C55" s="29"/>
      <c r="D55" s="29"/>
      <c r="E55" s="29"/>
      <c r="F55" s="29"/>
      <c r="G55" s="29"/>
      <c r="H55" s="40"/>
      <c r="I55" s="40"/>
      <c r="J55" s="40"/>
      <c r="K55" s="40"/>
    </row>
    <row r="57" spans="4:10" ht="12.75">
      <c r="D57" s="29"/>
      <c r="E57" s="29" t="s">
        <v>62</v>
      </c>
      <c r="F57" s="29"/>
      <c r="G57" s="29"/>
      <c r="H57" s="29"/>
      <c r="J57" s="18" t="s">
        <v>76</v>
      </c>
    </row>
    <row r="58" spans="4:8" ht="12.75">
      <c r="D58" s="29" t="s">
        <v>60</v>
      </c>
      <c r="E58" s="29">
        <f>-A40</f>
        <v>-2.5</v>
      </c>
      <c r="F58" s="29">
        <f>A40</f>
        <v>2.5</v>
      </c>
      <c r="G58" s="32">
        <f>G35</f>
        <v>0.033140534650577536</v>
      </c>
      <c r="H58" s="32">
        <f>G36</f>
        <v>0.5376903984285253</v>
      </c>
    </row>
    <row r="59" spans="4:8" ht="12.75">
      <c r="D59" s="29" t="s">
        <v>61</v>
      </c>
      <c r="E59" s="29">
        <v>1</v>
      </c>
      <c r="F59" s="29">
        <v>1</v>
      </c>
      <c r="G59" s="29">
        <v>1.5</v>
      </c>
      <c r="H59" s="29">
        <v>1.5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7">
      <selection activeCell="N24" sqref="N24"/>
    </sheetView>
  </sheetViews>
  <sheetFormatPr defaultColWidth="11.421875" defaultRowHeight="12.75"/>
  <cols>
    <col min="1" max="1" width="15.00390625" style="29" customWidth="1"/>
    <col min="2" max="2" width="14.00390625" style="29" customWidth="1"/>
    <col min="3" max="3" width="12.421875" style="29" bestFit="1" customWidth="1"/>
    <col min="4" max="4" width="11.421875" style="29" customWidth="1"/>
    <col min="5" max="5" width="14.421875" style="29" customWidth="1"/>
    <col min="6" max="9" width="11.421875" style="29" customWidth="1"/>
    <col min="10" max="10" width="13.28125" style="29" customWidth="1"/>
    <col min="11" max="12" width="11.421875" style="29" customWidth="1"/>
    <col min="13" max="13" width="14.140625" style="29" customWidth="1"/>
    <col min="14" max="14" width="11.421875" style="29" customWidth="1"/>
    <col min="15" max="15" width="12.421875" style="29" bestFit="1" customWidth="1"/>
    <col min="16" max="16384" width="11.421875" style="29" customWidth="1"/>
  </cols>
  <sheetData>
    <row r="1" ht="12.75">
      <c r="A1" s="28" t="s">
        <v>57</v>
      </c>
    </row>
    <row r="2" ht="12.75">
      <c r="A2" s="28" t="s">
        <v>68</v>
      </c>
    </row>
    <row r="4" spans="1:9" ht="12.75">
      <c r="A4" s="29" t="s">
        <v>43</v>
      </c>
      <c r="B4" s="29" t="s">
        <v>19</v>
      </c>
      <c r="D4" s="29" t="s">
        <v>20</v>
      </c>
      <c r="G4" s="29" t="s">
        <v>21</v>
      </c>
      <c r="I4" s="29" t="s">
        <v>22</v>
      </c>
    </row>
    <row r="5" spans="1:9" ht="12.75">
      <c r="A5" s="29" t="s">
        <v>44</v>
      </c>
      <c r="B5" s="30">
        <v>41163</v>
      </c>
      <c r="C5" s="30"/>
      <c r="D5" s="30">
        <v>41163</v>
      </c>
      <c r="E5" s="30"/>
      <c r="F5" s="30"/>
      <c r="G5" s="30">
        <v>41165</v>
      </c>
      <c r="H5" s="30"/>
      <c r="I5" s="30">
        <v>41165</v>
      </c>
    </row>
    <row r="6" spans="1:12" ht="12.75">
      <c r="A6" s="29" t="s">
        <v>45</v>
      </c>
      <c r="B6" s="29">
        <v>1</v>
      </c>
      <c r="D6" s="29">
        <v>1</v>
      </c>
      <c r="G6" s="29">
        <v>2</v>
      </c>
      <c r="I6" s="29">
        <v>2</v>
      </c>
      <c r="L6" s="31" t="s">
        <v>69</v>
      </c>
    </row>
    <row r="7" ht="12.75"/>
    <row r="8" ht="12.75"/>
    <row r="9" ht="12.75">
      <c r="A9" s="29" t="s">
        <v>46</v>
      </c>
    </row>
    <row r="10" spans="3:10" ht="12.75">
      <c r="C10" s="32" t="s">
        <v>24</v>
      </c>
      <c r="E10" s="32" t="s">
        <v>24</v>
      </c>
      <c r="H10" s="32" t="s">
        <v>24</v>
      </c>
      <c r="J10" s="32" t="s">
        <v>24</v>
      </c>
    </row>
    <row r="11" spans="1:10" ht="12.75">
      <c r="A11" s="29">
        <v>1</v>
      </c>
      <c r="B11">
        <v>99.47</v>
      </c>
      <c r="C11" s="33">
        <f>LN(B11)</f>
        <v>4.599856091164322</v>
      </c>
      <c r="D11">
        <v>99.79</v>
      </c>
      <c r="E11" s="33">
        <f>LN(D11)</f>
        <v>4.603067977896221</v>
      </c>
      <c r="G11">
        <v>99.95</v>
      </c>
      <c r="H11" s="33">
        <f aca="true" t="shared" si="0" ref="H11:H16">LN(G11)</f>
        <v>4.604670060946409</v>
      </c>
      <c r="I11">
        <v>99.42</v>
      </c>
      <c r="J11" s="33">
        <f aca="true" t="shared" si="1" ref="J11:J16">LN(I11)</f>
        <v>4.599353300666526</v>
      </c>
    </row>
    <row r="12" spans="1:10" ht="12.75">
      <c r="A12" s="29">
        <v>2</v>
      </c>
      <c r="B12">
        <v>99.62</v>
      </c>
      <c r="C12" s="33">
        <f aca="true" t="shared" si="2" ref="C12:E16">LN(B12)</f>
        <v>4.601362947645137</v>
      </c>
      <c r="D12">
        <v>99.74</v>
      </c>
      <c r="E12" s="33">
        <f t="shared" si="2"/>
        <v>4.602566800117977</v>
      </c>
      <c r="G12">
        <v>99.92</v>
      </c>
      <c r="H12" s="33">
        <f t="shared" si="0"/>
        <v>4.604369865817322</v>
      </c>
      <c r="I12">
        <v>99.34</v>
      </c>
      <c r="J12" s="33">
        <f t="shared" si="1"/>
        <v>4.598548309679204</v>
      </c>
    </row>
    <row r="13" spans="1:10" ht="12.75">
      <c r="A13" s="29">
        <v>3</v>
      </c>
      <c r="B13">
        <v>99.37</v>
      </c>
      <c r="C13" s="33">
        <f t="shared" si="2"/>
        <v>4.598850257243272</v>
      </c>
      <c r="D13">
        <v>99.58</v>
      </c>
      <c r="E13" s="33">
        <f t="shared" si="2"/>
        <v>4.600961341214036</v>
      </c>
      <c r="G13">
        <v>100.04</v>
      </c>
      <c r="H13" s="33">
        <f t="shared" si="0"/>
        <v>4.605570106009418</v>
      </c>
      <c r="I13">
        <v>99.53</v>
      </c>
      <c r="J13" s="33">
        <f t="shared" si="1"/>
        <v>4.600459106257972</v>
      </c>
    </row>
    <row r="14" spans="1:10" ht="12.75">
      <c r="A14" s="29">
        <v>4</v>
      </c>
      <c r="B14">
        <v>99.31</v>
      </c>
      <c r="C14" s="33">
        <f t="shared" si="2"/>
        <v>4.598246270915268</v>
      </c>
      <c r="D14">
        <v>99.75</v>
      </c>
      <c r="E14" s="33">
        <f t="shared" si="2"/>
        <v>4.602667055769973</v>
      </c>
      <c r="G14">
        <v>99.89</v>
      </c>
      <c r="H14" s="33">
        <f t="shared" si="0"/>
        <v>4.604069580544058</v>
      </c>
      <c r="I14">
        <v>98.82</v>
      </c>
      <c r="J14" s="33">
        <f t="shared" si="1"/>
        <v>4.593300013417604</v>
      </c>
    </row>
    <row r="15" spans="1:10" ht="12.75">
      <c r="A15" s="29">
        <v>5</v>
      </c>
      <c r="B15">
        <v>99.53</v>
      </c>
      <c r="C15" s="33">
        <f t="shared" si="2"/>
        <v>4.600459106257972</v>
      </c>
      <c r="D15">
        <v>99.54</v>
      </c>
      <c r="E15" s="33">
        <f t="shared" si="2"/>
        <v>4.6005595734304086</v>
      </c>
      <c r="G15">
        <v>99.83</v>
      </c>
      <c r="H15" s="33">
        <f t="shared" si="0"/>
        <v>4.603468739348334</v>
      </c>
      <c r="I15">
        <v>99.38</v>
      </c>
      <c r="J15" s="33">
        <f t="shared" si="1"/>
        <v>4.598950886174174</v>
      </c>
    </row>
    <row r="16" spans="1:11" ht="12.75">
      <c r="A16" s="29">
        <v>6</v>
      </c>
      <c r="B16">
        <v>100.21</v>
      </c>
      <c r="C16" s="33">
        <f t="shared" si="2"/>
        <v>4.607267984070237</v>
      </c>
      <c r="D16">
        <v>99.62</v>
      </c>
      <c r="E16" s="33">
        <f t="shared" si="2"/>
        <v>4.601362947645137</v>
      </c>
      <c r="G16">
        <v>99.81</v>
      </c>
      <c r="H16" s="33">
        <f t="shared" si="0"/>
        <v>4.603268378698495</v>
      </c>
      <c r="I16">
        <v>99.42</v>
      </c>
      <c r="J16" s="33">
        <f t="shared" si="1"/>
        <v>4.599353300666526</v>
      </c>
      <c r="K16" s="34"/>
    </row>
    <row r="17" spans="3:10" ht="12.75">
      <c r="C17" s="32"/>
      <c r="E17" s="32"/>
      <c r="H17" s="32"/>
      <c r="J17" s="32"/>
    </row>
    <row r="18" spans="1:10" ht="12.75">
      <c r="A18" s="29" t="s">
        <v>18</v>
      </c>
      <c r="B18" s="34">
        <f>AVERAGE(B11:B16)</f>
        <v>99.58500000000002</v>
      </c>
      <c r="C18" s="35">
        <f>AVERAGE(C11:C16)</f>
        <v>4.601007109549368</v>
      </c>
      <c r="D18" s="34">
        <f>AVERAGE(D11:D16)</f>
        <v>99.67</v>
      </c>
      <c r="E18" s="35">
        <f>AVERAGE(E11:E16)</f>
        <v>4.601864282678959</v>
      </c>
      <c r="G18" s="34">
        <f>AVERAGE(G11:G16)</f>
        <v>99.90666666666668</v>
      </c>
      <c r="H18" s="35">
        <f>AVERAGE(H11:H16)</f>
        <v>4.604236121894006</v>
      </c>
      <c r="I18" s="34">
        <f>AVERAGE(I11:I16)</f>
        <v>99.31833333333333</v>
      </c>
      <c r="J18" s="35">
        <f>AVERAGE(J11:J16)</f>
        <v>4.598327486143668</v>
      </c>
    </row>
    <row r="19" spans="1:10" ht="12.75">
      <c r="A19" s="28" t="s">
        <v>23</v>
      </c>
      <c r="B19" s="34">
        <f>_xlfn.STDEV.S(B11:B16)</f>
        <v>0.32556105418185066</v>
      </c>
      <c r="C19" s="36">
        <f>_xlfn.STDEV.S(C11:C16)</f>
        <v>0.0032626542348344802</v>
      </c>
      <c r="D19" s="34">
        <f>_xlfn.STDEV.S(D11:D16)</f>
        <v>0.10315037566582005</v>
      </c>
      <c r="E19" s="36">
        <f>_xlfn.STDEV.S(E11:E16)</f>
        <v>0.0010349651097796692</v>
      </c>
      <c r="G19" s="34">
        <f>_xlfn.STDEV.S(G11:G16)</f>
        <v>0.08406346808612537</v>
      </c>
      <c r="H19" s="36">
        <f>_xlfn.STDEV.S(H11:H16)</f>
        <v>0.0008412898482092676</v>
      </c>
      <c r="I19" s="34">
        <f>_xlfn.STDEV.S(I11:I16)</f>
        <v>0.2522234459099078</v>
      </c>
      <c r="J19" s="36">
        <f>_xlfn.STDEV.S(J11:J16)</f>
        <v>0.0025440624137594427</v>
      </c>
    </row>
    <row r="20" spans="1:10" ht="12.75">
      <c r="A20" s="29" t="s">
        <v>47</v>
      </c>
      <c r="B20" s="29">
        <f>VAR(B11:B16)</f>
        <v>0.10598999999999789</v>
      </c>
      <c r="C20" s="37">
        <f>VAR(C11:C16)</f>
        <v>1.0644912656083369E-05</v>
      </c>
      <c r="D20" s="29">
        <f>VAR(D11:D16)</f>
        <v>0.010639999999999802</v>
      </c>
      <c r="E20" s="37">
        <f>VAR(E11:E16)</f>
        <v>1.0711527784612425E-06</v>
      </c>
      <c r="G20" s="29">
        <f>VAR(G11:G16)</f>
        <v>0.007066666666667019</v>
      </c>
      <c r="H20" s="37">
        <f>VAR(H11:H16)</f>
        <v>7.077686086999726E-07</v>
      </c>
      <c r="I20" s="29">
        <f>VAR(I11:I16)</f>
        <v>0.06361666666666818</v>
      </c>
      <c r="J20" s="37">
        <f>VAR(J11:J16)</f>
        <v>6.472253565103522E-06</v>
      </c>
    </row>
    <row r="21" spans="1:10" ht="12.75">
      <c r="A21" s="29" t="s">
        <v>17</v>
      </c>
      <c r="B21" s="38">
        <f>SQRT(B20)/B18</f>
        <v>0.003269177628978768</v>
      </c>
      <c r="C21" s="39">
        <f>SQRT(C20)/C18</f>
        <v>0.0007091174078090115</v>
      </c>
      <c r="D21" s="38">
        <f>SQRT(D20)/D18</f>
        <v>0.0010349189893229663</v>
      </c>
      <c r="E21" s="39">
        <f>SQRT(E20)/E18</f>
        <v>0.0002249012674439777</v>
      </c>
      <c r="G21" s="38">
        <f>SQRT(G20)/G18</f>
        <v>0.0008414200062003739</v>
      </c>
      <c r="H21" s="39">
        <f>SQRT(H20)/H18</f>
        <v>0.00018272083054315496</v>
      </c>
      <c r="I21" s="38">
        <f>SQRT(I20)/I18</f>
        <v>0.002539545695590688</v>
      </c>
      <c r="J21" s="39">
        <f>SQRT(J20)/J18</f>
        <v>0.0005532582056031398</v>
      </c>
    </row>
    <row r="23" spans="1:11" ht="12.75">
      <c r="A23" s="29" t="s">
        <v>77</v>
      </c>
      <c r="I23" s="63" t="s">
        <v>78</v>
      </c>
      <c r="J23" s="32"/>
      <c r="K23" s="32"/>
    </row>
    <row r="24" spans="1:14" ht="12.75">
      <c r="A24" s="28" t="s">
        <v>85</v>
      </c>
      <c r="C24" s="40">
        <f>SQRT(B19^2/(4*6)+D19^2/(4*6)+G19^2/(4*6)+I19^2/(4*6))</f>
        <v>0.08834433893703775</v>
      </c>
      <c r="E24" s="28" t="s">
        <v>86</v>
      </c>
      <c r="F24" s="34">
        <f>(B18+D18)/2-(G18+I18)/2</f>
        <v>0.015000000000000568</v>
      </c>
      <c r="I24" s="41" t="s">
        <v>85</v>
      </c>
      <c r="K24" s="32">
        <f>SQRT(C20/(4*6)+E20/(4*6)+H20/(4*6)+J20/(4*6))</f>
        <v>0.0008873201134208393</v>
      </c>
      <c r="M24" s="28" t="s">
        <v>86</v>
      </c>
      <c r="N24" s="35">
        <f>(C18+E18)/2-(H18+J18)/2</f>
        <v>0.00015389209532656878</v>
      </c>
    </row>
    <row r="25" spans="1:15" ht="12.75">
      <c r="A25" s="28" t="s">
        <v>83</v>
      </c>
      <c r="C25" s="29">
        <f>E25/G25</f>
        <v>11.359116822991478</v>
      </c>
      <c r="D25" s="31" t="s">
        <v>70</v>
      </c>
      <c r="E25" s="31">
        <f>(B19^2/(4*6)+D19^2/(4*6)+G19^2/(4*6)+I19^2/(4*6))^2</f>
        <v>6.09136889660491E-05</v>
      </c>
      <c r="F25" s="42" t="s">
        <v>71</v>
      </c>
      <c r="G25" s="29">
        <f>B19^4/(16*6^2*5)+D19^4/(16*6^2*5)+G19^4/(16*6^2*5)+I19^4/(16*6^2*5)</f>
        <v>5.362537415123369E-06</v>
      </c>
      <c r="I25" s="41" t="s">
        <v>87</v>
      </c>
      <c r="K25" s="32">
        <f>M25/O25</f>
        <v>11.382096050943591</v>
      </c>
      <c r="L25" s="31" t="s">
        <v>70</v>
      </c>
      <c r="M25" s="43">
        <f>(C19^2/(4*6)+E19^2/(4*6)+H19^2/(4*6)+J19^2/(4*6))^2</f>
        <v>6.198995258721647E-13</v>
      </c>
      <c r="N25" s="42" t="s">
        <v>71</v>
      </c>
      <c r="O25" s="32">
        <f>C19^4/(16*6^2*5)+E19^4/(16*6^2*5)+H19^4/(16*6^2*5)+J19^4/(16*6^2*5)</f>
        <v>5.4462686230869937E-14</v>
      </c>
    </row>
    <row r="26" spans="1:11" ht="12.75">
      <c r="A26" s="28" t="s">
        <v>25</v>
      </c>
      <c r="C26" s="29">
        <f>TINV(0.1,C25)</f>
        <v>1.7958848187040437</v>
      </c>
      <c r="I26" s="41" t="s">
        <v>25</v>
      </c>
      <c r="K26" s="32">
        <f>TINV(0.1,K25)</f>
        <v>1.7958848187040437</v>
      </c>
    </row>
    <row r="27" ht="12.75">
      <c r="I27" s="44"/>
    </row>
    <row r="28" spans="1:11" ht="12.75">
      <c r="A28" s="28" t="s">
        <v>26</v>
      </c>
      <c r="C28" s="29">
        <f>F24-C26*C24</f>
        <v>-0.14365625711547006</v>
      </c>
      <c r="I28" s="45" t="s">
        <v>28</v>
      </c>
      <c r="K28" s="32">
        <f>N24-K26*K24</f>
        <v>-0.0014396326256966667</v>
      </c>
    </row>
    <row r="29" spans="1:11" ht="12.75">
      <c r="A29" s="28" t="s">
        <v>27</v>
      </c>
      <c r="C29" s="29">
        <f>F24+C26*C24</f>
        <v>0.1736562571154712</v>
      </c>
      <c r="I29" s="45" t="s">
        <v>29</v>
      </c>
      <c r="K29" s="32">
        <f>N24+K26*K24</f>
        <v>0.0017474168163498043</v>
      </c>
    </row>
    <row r="30" ht="12.75">
      <c r="I30" s="44"/>
    </row>
    <row r="31" spans="9:20" ht="12.75">
      <c r="I31" s="41" t="s">
        <v>26</v>
      </c>
      <c r="K31" s="32">
        <f>100*(EXP(K28)-1)</f>
        <v>-0.1438596851752405</v>
      </c>
      <c r="T31" s="28"/>
    </row>
    <row r="32" spans="1:13" ht="12.75">
      <c r="A32" s="31"/>
      <c r="I32" s="41" t="s">
        <v>27</v>
      </c>
      <c r="K32" s="32">
        <f>100*(EXP(K29)-1)</f>
        <v>0.174894443878304</v>
      </c>
      <c r="M32" s="46" t="s">
        <v>75</v>
      </c>
    </row>
    <row r="33" ht="12.75">
      <c r="T33" s="28"/>
    </row>
    <row r="34" ht="12.75">
      <c r="T34" s="28"/>
    </row>
    <row r="36" spans="3:20" ht="12.75">
      <c r="C36" s="29" t="s">
        <v>59</v>
      </c>
      <c r="H36" s="29" t="s">
        <v>62</v>
      </c>
      <c r="T36" s="28"/>
    </row>
    <row r="37" spans="3:20" ht="12.75">
      <c r="C37" s="29">
        <v>2.5</v>
      </c>
      <c r="G37" s="29" t="s">
        <v>60</v>
      </c>
      <c r="H37" s="29">
        <f>-C37</f>
        <v>-2.5</v>
      </c>
      <c r="I37" s="29">
        <f>C37</f>
        <v>2.5</v>
      </c>
      <c r="J37" s="29">
        <f>C28</f>
        <v>-0.14365625711547006</v>
      </c>
      <c r="K37" s="29">
        <f>C29</f>
        <v>0.1736562571154712</v>
      </c>
      <c r="T37" s="28"/>
    </row>
    <row r="38" spans="7:11" ht="12.75">
      <c r="G38" s="29" t="s">
        <v>61</v>
      </c>
      <c r="H38" s="29">
        <v>1</v>
      </c>
      <c r="I38" s="29">
        <v>1</v>
      </c>
      <c r="J38" s="29">
        <v>1.5</v>
      </c>
      <c r="K38" s="29">
        <v>1.5</v>
      </c>
    </row>
    <row r="49" ht="12.75">
      <c r="M49" s="46" t="s">
        <v>76</v>
      </c>
    </row>
    <row r="50" ht="12.75">
      <c r="H50" s="29" t="s">
        <v>62</v>
      </c>
    </row>
    <row r="51" spans="8:11" ht="12.75">
      <c r="H51" s="29">
        <v>-2.5</v>
      </c>
      <c r="I51" s="29">
        <v>2.5</v>
      </c>
      <c r="J51" s="32">
        <f>K31</f>
        <v>-0.1438596851752405</v>
      </c>
      <c r="K51" s="32">
        <f>K32</f>
        <v>0.174894443878304</v>
      </c>
    </row>
    <row r="52" spans="8:11" ht="12.75">
      <c r="H52" s="29">
        <v>1</v>
      </c>
      <c r="I52" s="29">
        <v>1</v>
      </c>
      <c r="J52" s="29">
        <v>1.5</v>
      </c>
      <c r="K52" s="29">
        <v>1.5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&amp;C&amp;A</oddHeader>
    <oddFooter>&amp;CSeite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0">
      <selection activeCell="F26" sqref="F26:H26"/>
    </sheetView>
  </sheetViews>
  <sheetFormatPr defaultColWidth="11.421875" defaultRowHeight="12.75"/>
  <cols>
    <col min="1" max="1" width="11.00390625" style="0" customWidth="1"/>
    <col min="2" max="2" width="12.00390625" style="0" customWidth="1"/>
    <col min="3" max="3" width="12.28125" style="0" customWidth="1"/>
    <col min="4" max="4" width="12.00390625" style="0" bestFit="1" customWidth="1"/>
    <col min="5" max="5" width="13.421875" style="0" customWidth="1"/>
    <col min="6" max="6" width="20.421875" style="0" customWidth="1"/>
    <col min="7" max="7" width="12.00390625" style="0" bestFit="1" customWidth="1"/>
  </cols>
  <sheetData>
    <row r="1" ht="12.75">
      <c r="A1" s="11" t="s">
        <v>57</v>
      </c>
    </row>
    <row r="3" spans="1:7" ht="12.75">
      <c r="A3" s="17" t="s">
        <v>72</v>
      </c>
      <c r="B3" s="2"/>
      <c r="C3" s="2"/>
      <c r="D3" s="52" t="s">
        <v>73</v>
      </c>
      <c r="E3" s="2"/>
      <c r="F3" s="2"/>
      <c r="G3" s="2"/>
    </row>
    <row r="5" ht="12.75">
      <c r="A5" t="s">
        <v>46</v>
      </c>
    </row>
    <row r="6" spans="3:7" ht="12.75">
      <c r="C6" s="4" t="s">
        <v>24</v>
      </c>
      <c r="E6" s="4" t="s">
        <v>24</v>
      </c>
      <c r="G6" s="11"/>
    </row>
    <row r="7" spans="1:7" ht="12.75">
      <c r="A7" s="11" t="s">
        <v>30</v>
      </c>
      <c r="B7">
        <v>99.47</v>
      </c>
      <c r="C7" s="5">
        <f aca="true" t="shared" si="0" ref="C7:C18">LN(B7)</f>
        <v>4.599856091164322</v>
      </c>
      <c r="D7">
        <v>99.95</v>
      </c>
      <c r="E7" s="5">
        <f>LN(D7)</f>
        <v>4.604670060946409</v>
      </c>
      <c r="G7" s="53"/>
    </row>
    <row r="8" spans="1:7" ht="12.75">
      <c r="A8" s="11" t="s">
        <v>31</v>
      </c>
      <c r="B8">
        <v>99.62</v>
      </c>
      <c r="C8" s="5">
        <f t="shared" si="0"/>
        <v>4.601362947645137</v>
      </c>
      <c r="D8">
        <v>99.92</v>
      </c>
      <c r="E8" s="5">
        <f aca="true" t="shared" si="1" ref="E8:E18">LN(D8)</f>
        <v>4.604369865817322</v>
      </c>
      <c r="G8" s="53"/>
    </row>
    <row r="9" spans="1:7" ht="12.75">
      <c r="A9" s="11" t="s">
        <v>32</v>
      </c>
      <c r="B9">
        <v>99.37</v>
      </c>
      <c r="C9" s="5">
        <f t="shared" si="0"/>
        <v>4.598850257243272</v>
      </c>
      <c r="D9">
        <v>100.04</v>
      </c>
      <c r="E9" s="5">
        <f t="shared" si="1"/>
        <v>4.605570106009418</v>
      </c>
      <c r="G9" s="53"/>
    </row>
    <row r="10" spans="1:7" ht="12.75">
      <c r="A10" s="11" t="s">
        <v>33</v>
      </c>
      <c r="B10">
        <v>99.31</v>
      </c>
      <c r="C10" s="5">
        <f t="shared" si="0"/>
        <v>4.598246270915268</v>
      </c>
      <c r="D10">
        <v>99.89</v>
      </c>
      <c r="E10" s="5">
        <f t="shared" si="1"/>
        <v>4.604069580544058</v>
      </c>
      <c r="G10" s="53"/>
    </row>
    <row r="11" spans="1:7" ht="12.75">
      <c r="A11" s="11" t="s">
        <v>34</v>
      </c>
      <c r="B11">
        <v>99.53</v>
      </c>
      <c r="C11" s="5">
        <f t="shared" si="0"/>
        <v>4.600459106257972</v>
      </c>
      <c r="D11">
        <v>99.83</v>
      </c>
      <c r="E11" s="5">
        <f t="shared" si="1"/>
        <v>4.603468739348334</v>
      </c>
      <c r="G11" s="53"/>
    </row>
    <row r="12" spans="1:8" ht="12.75">
      <c r="A12" s="11" t="s">
        <v>35</v>
      </c>
      <c r="B12">
        <v>100.21</v>
      </c>
      <c r="C12" s="5">
        <f t="shared" si="0"/>
        <v>4.607267984070237</v>
      </c>
      <c r="D12">
        <v>99.81</v>
      </c>
      <c r="E12" s="5">
        <f t="shared" si="1"/>
        <v>4.603268378698495</v>
      </c>
      <c r="G12" s="53"/>
      <c r="H12" s="3"/>
    </row>
    <row r="13" spans="1:8" ht="12.75">
      <c r="A13" s="11" t="s">
        <v>36</v>
      </c>
      <c r="B13">
        <v>99.79</v>
      </c>
      <c r="C13" s="5">
        <f t="shared" si="0"/>
        <v>4.603067977896221</v>
      </c>
      <c r="D13">
        <v>99.42</v>
      </c>
      <c r="E13" s="5">
        <f t="shared" si="1"/>
        <v>4.599353300666526</v>
      </c>
      <c r="G13" s="53"/>
      <c r="H13" s="3"/>
    </row>
    <row r="14" spans="1:8" ht="12.75">
      <c r="A14" s="11" t="s">
        <v>37</v>
      </c>
      <c r="B14">
        <v>99.74</v>
      </c>
      <c r="C14" s="5">
        <f t="shared" si="0"/>
        <v>4.602566800117977</v>
      </c>
      <c r="D14">
        <v>99.34</v>
      </c>
      <c r="E14" s="5">
        <f t="shared" si="1"/>
        <v>4.598548309679204</v>
      </c>
      <c r="G14" s="53"/>
      <c r="H14" s="3"/>
    </row>
    <row r="15" spans="1:8" ht="12.75">
      <c r="A15" s="11" t="s">
        <v>38</v>
      </c>
      <c r="B15">
        <v>99.58</v>
      </c>
      <c r="C15" s="5">
        <f t="shared" si="0"/>
        <v>4.600961341214036</v>
      </c>
      <c r="D15">
        <v>99.53</v>
      </c>
      <c r="E15" s="5">
        <f t="shared" si="1"/>
        <v>4.600459106257972</v>
      </c>
      <c r="G15" s="53"/>
      <c r="H15" s="3"/>
    </row>
    <row r="16" spans="1:8" ht="12.75">
      <c r="A16" s="11" t="s">
        <v>39</v>
      </c>
      <c r="B16">
        <v>99.75</v>
      </c>
      <c r="C16" s="5">
        <f t="shared" si="0"/>
        <v>4.602667055769973</v>
      </c>
      <c r="D16">
        <v>98.82</v>
      </c>
      <c r="E16" s="5">
        <f t="shared" si="1"/>
        <v>4.593300013417604</v>
      </c>
      <c r="G16" s="53"/>
      <c r="H16" s="3"/>
    </row>
    <row r="17" spans="1:8" ht="12.75">
      <c r="A17" s="11" t="s">
        <v>40</v>
      </c>
      <c r="B17">
        <v>99.54</v>
      </c>
      <c r="C17" s="5">
        <f t="shared" si="0"/>
        <v>4.6005595734304086</v>
      </c>
      <c r="D17">
        <v>99.38</v>
      </c>
      <c r="E17" s="5">
        <f t="shared" si="1"/>
        <v>4.598950886174174</v>
      </c>
      <c r="G17" s="53"/>
      <c r="H17" s="3"/>
    </row>
    <row r="18" spans="1:7" ht="12.75">
      <c r="A18" s="11" t="s">
        <v>41</v>
      </c>
      <c r="B18">
        <v>99.62</v>
      </c>
      <c r="C18" s="5">
        <f t="shared" si="0"/>
        <v>4.601362947645137</v>
      </c>
      <c r="D18">
        <v>99.42</v>
      </c>
      <c r="E18" s="5">
        <f t="shared" si="1"/>
        <v>4.599353300666526</v>
      </c>
      <c r="G18" s="53"/>
    </row>
    <row r="19" spans="1:7" ht="12.75">
      <c r="A19" s="11"/>
      <c r="C19" s="12"/>
      <c r="D19" s="12"/>
      <c r="E19" s="12"/>
      <c r="G19" s="12"/>
    </row>
    <row r="20" spans="1:7" ht="12.75">
      <c r="A20" t="s">
        <v>18</v>
      </c>
      <c r="B20" s="3">
        <f>AVERAGE(B7:B18)</f>
        <v>99.62750000000001</v>
      </c>
      <c r="C20" s="6">
        <f>AVERAGE(C7:C18)</f>
        <v>4.601435696114163</v>
      </c>
      <c r="D20" s="3">
        <f>AVERAGE(D7:D18)</f>
        <v>99.6125</v>
      </c>
      <c r="E20" s="6">
        <f>AVERAGE(E7:E18)</f>
        <v>4.601281804018837</v>
      </c>
      <c r="G20" s="19"/>
    </row>
    <row r="21" spans="1:7" ht="12.75">
      <c r="A21" s="8" t="s">
        <v>23</v>
      </c>
      <c r="B21" s="3">
        <f>_xlfn.STDEV.S(B7:B18)</f>
        <v>0.23448686724226137</v>
      </c>
      <c r="C21" s="6">
        <f>_xlfn.STDEV.S(C7:C18)</f>
        <v>0.002350716805475624</v>
      </c>
      <c r="D21" s="3">
        <f>_xlfn.STDEV.S(D7:D18)</f>
        <v>0.35570991756562975</v>
      </c>
      <c r="E21" s="6">
        <f>_xlfn.STDEV.S(E7:E18)</f>
        <v>0.0035756250586377867</v>
      </c>
      <c r="G21" s="19"/>
    </row>
    <row r="22" spans="1:7" ht="12.75">
      <c r="A22" t="s">
        <v>47</v>
      </c>
      <c r="B22">
        <f>VAR(B7:B18)</f>
        <v>0.05498409090908991</v>
      </c>
      <c r="C22" s="10">
        <f>VAR(C7:C18)</f>
        <v>5.5258694995455226E-06</v>
      </c>
      <c r="D22">
        <f>VAR(D7:D18)</f>
        <v>0.12652954545454712</v>
      </c>
      <c r="E22" s="10">
        <f>VAR(E7:E18)</f>
        <v>1.2785094559958475E-05</v>
      </c>
      <c r="G22" s="54"/>
    </row>
    <row r="23" spans="1:7" ht="12.75">
      <c r="A23" t="s">
        <v>17</v>
      </c>
      <c r="B23" s="1">
        <f>SQRT(B22)/B20</f>
        <v>0.002353635966397444</v>
      </c>
      <c r="C23" s="7">
        <f>SQRT(C22)/C20</f>
        <v>0.0005108659472218128</v>
      </c>
      <c r="D23" s="1">
        <f>SQRT(D22)/D20</f>
        <v>0.0035709365548061717</v>
      </c>
      <c r="E23" s="7">
        <f>SQRT(E22)/E20</f>
        <v>0.000777093255952021</v>
      </c>
      <c r="G23" s="55"/>
    </row>
    <row r="24" ht="12.75">
      <c r="G24" s="12"/>
    </row>
    <row r="25" ht="12.75">
      <c r="G25" s="12"/>
    </row>
    <row r="26" spans="1:8" ht="12.75">
      <c r="A26" s="17" t="s">
        <v>81</v>
      </c>
      <c r="F26" s="64" t="s">
        <v>92</v>
      </c>
      <c r="G26" s="4"/>
      <c r="H26" s="4"/>
    </row>
    <row r="27" spans="1:7" ht="12.75">
      <c r="A27" s="11" t="s">
        <v>56</v>
      </c>
      <c r="C27" s="19">
        <f>B20-D20</f>
        <v>0.01500000000001478</v>
      </c>
      <c r="F27" s="24" t="s">
        <v>56</v>
      </c>
      <c r="G27" s="6">
        <f>C20-E20</f>
        <v>0.00015389209532656878</v>
      </c>
    </row>
    <row r="28" spans="1:7" ht="12.75">
      <c r="A28" s="17" t="s">
        <v>67</v>
      </c>
      <c r="C28" s="61">
        <f>SQRT((11*B22+11*D22)/(12+12-2))</f>
        <v>0.30125872299705864</v>
      </c>
      <c r="F28" s="65" t="s">
        <v>67</v>
      </c>
      <c r="G28" s="58">
        <f>SQRT((11*C22+11*E22)/(12+12-2))</f>
        <v>0.0030258027083324515</v>
      </c>
    </row>
    <row r="29" spans="1:7" ht="12.75">
      <c r="A29" s="28" t="s">
        <v>82</v>
      </c>
      <c r="C29" s="62">
        <f>12+12-2</f>
        <v>22</v>
      </c>
      <c r="F29" s="41" t="s">
        <v>84</v>
      </c>
      <c r="G29" s="57">
        <f>12+12-2</f>
        <v>22</v>
      </c>
    </row>
    <row r="30" spans="1:13" ht="15">
      <c r="A30" s="28" t="s">
        <v>25</v>
      </c>
      <c r="C30" s="61">
        <f>TINV(0.1,12+12-2)</f>
        <v>1.7171443743802424</v>
      </c>
      <c r="F30" s="41" t="s">
        <v>25</v>
      </c>
      <c r="G30" s="56">
        <f>TINV(0.1,12+12-2)</f>
        <v>1.7171443743802424</v>
      </c>
      <c r="M30" s="66" t="s">
        <v>88</v>
      </c>
    </row>
    <row r="31" spans="3:7" ht="12.75">
      <c r="C31" s="61"/>
      <c r="F31" s="26"/>
      <c r="G31" s="56"/>
    </row>
    <row r="32" spans="1:7" ht="12.75">
      <c r="A32" s="17" t="s">
        <v>26</v>
      </c>
      <c r="C32" s="40">
        <f>C27-C30*C28*SQRT(2/12)</f>
        <v>-0.19618876817159592</v>
      </c>
      <c r="F32" s="65" t="s">
        <v>28</v>
      </c>
      <c r="G32" s="32">
        <f>G27-G30*G28*SQRT(2/12)</f>
        <v>-0.001967259917620432</v>
      </c>
    </row>
    <row r="33" spans="1:7" ht="12.75">
      <c r="A33" s="17" t="s">
        <v>27</v>
      </c>
      <c r="C33" s="40">
        <f>C27+C30*C28*SQRT(2/12)</f>
        <v>0.22618876817162548</v>
      </c>
      <c r="F33" s="65" t="s">
        <v>29</v>
      </c>
      <c r="G33" s="32">
        <f>G27+G30*G28*SQRT(2/12)</f>
        <v>0.0022750441082735697</v>
      </c>
    </row>
    <row r="34" spans="2:7" ht="12.75">
      <c r="B34" s="61"/>
      <c r="F34" s="26"/>
      <c r="G34" s="56"/>
    </row>
    <row r="35" spans="1:7" ht="12.75">
      <c r="A35" s="17"/>
      <c r="B35" s="12"/>
      <c r="F35" s="65" t="s">
        <v>89</v>
      </c>
      <c r="G35" s="4">
        <f>100*(EXP(G32)-1)</f>
        <v>-0.19653261301241232</v>
      </c>
    </row>
    <row r="36" spans="1:7" ht="12.75">
      <c r="A36" s="17"/>
      <c r="B36" s="12"/>
      <c r="F36" s="65" t="s">
        <v>90</v>
      </c>
      <c r="G36" s="4">
        <f>100*(EXP(G33)-1)</f>
        <v>0.22776339847763172</v>
      </c>
    </row>
    <row r="39" spans="1:6" ht="12.75">
      <c r="A39" s="29" t="s">
        <v>59</v>
      </c>
      <c r="D39" s="29"/>
      <c r="E39" s="29"/>
      <c r="F39" s="29"/>
    </row>
    <row r="40" spans="1:10" ht="12.75">
      <c r="A40" s="29">
        <v>2.5</v>
      </c>
      <c r="D40" s="29"/>
      <c r="E40" s="29"/>
      <c r="F40" s="29"/>
      <c r="J40" s="18" t="s">
        <v>75</v>
      </c>
    </row>
    <row r="41" spans="2:6" ht="12.75">
      <c r="B41" s="29"/>
      <c r="C41" s="29"/>
      <c r="D41" s="29"/>
      <c r="E41" s="29"/>
      <c r="F41" s="29"/>
    </row>
    <row r="42" spans="2:11" ht="12.75">
      <c r="B42" s="29"/>
      <c r="C42" s="29"/>
      <c r="D42" s="29"/>
      <c r="E42" s="29" t="s">
        <v>62</v>
      </c>
      <c r="F42" s="29"/>
      <c r="G42" s="29"/>
      <c r="H42" s="29"/>
      <c r="J42" s="29"/>
      <c r="K42" s="29"/>
    </row>
    <row r="43" spans="2:11" ht="12.75">
      <c r="B43" s="29"/>
      <c r="C43" s="29"/>
      <c r="D43" s="29" t="s">
        <v>60</v>
      </c>
      <c r="E43" s="29">
        <f>-A40</f>
        <v>-2.5</v>
      </c>
      <c r="F43" s="29">
        <f>A40</f>
        <v>2.5</v>
      </c>
      <c r="G43" s="29">
        <f>C32</f>
        <v>-0.19618876817159592</v>
      </c>
      <c r="H43" s="29">
        <f>C33</f>
        <v>0.22618876817162548</v>
      </c>
      <c r="J43" s="29"/>
      <c r="K43" s="29"/>
    </row>
    <row r="44" spans="3:11" ht="12.75">
      <c r="C44" s="29"/>
      <c r="D44" s="29" t="s">
        <v>61</v>
      </c>
      <c r="E44" s="29">
        <v>1</v>
      </c>
      <c r="F44" s="29">
        <v>1</v>
      </c>
      <c r="G44" s="29">
        <v>1.5</v>
      </c>
      <c r="H44" s="29">
        <v>1.5</v>
      </c>
      <c r="J44" s="29"/>
      <c r="K44" s="29"/>
    </row>
    <row r="45" spans="3:11" ht="12.75">
      <c r="C45" s="29"/>
      <c r="D45" s="29"/>
      <c r="E45" s="29"/>
      <c r="F45" s="29"/>
      <c r="G45" s="29"/>
      <c r="H45" s="29"/>
      <c r="I45" s="29"/>
      <c r="J45" s="29"/>
      <c r="K45" s="29"/>
    </row>
    <row r="46" spans="3:11" ht="12.75">
      <c r="C46" s="29"/>
      <c r="D46" s="29"/>
      <c r="E46" s="29"/>
      <c r="F46" s="29"/>
      <c r="G46" s="29"/>
      <c r="H46" s="29"/>
      <c r="I46" s="29"/>
      <c r="J46" s="29"/>
      <c r="K46" s="29"/>
    </row>
    <row r="47" spans="3:11" ht="12.75">
      <c r="C47" s="29"/>
      <c r="D47" s="29"/>
      <c r="E47" s="29"/>
      <c r="F47" s="29"/>
      <c r="G47" s="29"/>
      <c r="H47" s="29"/>
      <c r="I47" s="29"/>
      <c r="J47" s="29"/>
      <c r="K47" s="29"/>
    </row>
    <row r="48" spans="3:11" ht="12.75">
      <c r="C48" s="29"/>
      <c r="D48" s="29"/>
      <c r="E48" s="29"/>
      <c r="F48" s="29"/>
      <c r="G48" s="29"/>
      <c r="H48" s="29"/>
      <c r="I48" s="29"/>
      <c r="J48" s="29"/>
      <c r="K48" s="29"/>
    </row>
    <row r="49" spans="3:11" ht="12.75">
      <c r="C49" s="29"/>
      <c r="D49" s="29"/>
      <c r="E49" s="29"/>
      <c r="F49" s="29"/>
      <c r="G49" s="29"/>
      <c r="H49" s="29"/>
      <c r="I49" s="29"/>
      <c r="J49" s="29"/>
      <c r="K49" s="29"/>
    </row>
    <row r="50" spans="3:11" ht="12.75">
      <c r="C50" s="29"/>
      <c r="D50" s="29"/>
      <c r="E50" s="29"/>
      <c r="F50" s="29"/>
      <c r="G50" s="29"/>
      <c r="H50" s="29"/>
      <c r="I50" s="29"/>
      <c r="J50" s="29"/>
      <c r="K50" s="29"/>
    </row>
    <row r="51" spans="3:11" ht="12.75">
      <c r="C51" s="29"/>
      <c r="D51" s="29"/>
      <c r="E51" s="29"/>
      <c r="F51" s="29"/>
      <c r="G51" s="29"/>
      <c r="H51" s="29"/>
      <c r="I51" s="29"/>
      <c r="J51" s="29"/>
      <c r="K51" s="29"/>
    </row>
    <row r="52" spans="3:11" ht="12.75">
      <c r="C52" s="29"/>
      <c r="D52" s="29"/>
      <c r="E52" s="29"/>
      <c r="F52" s="29"/>
      <c r="G52" s="29"/>
      <c r="H52" s="29"/>
      <c r="I52" s="29"/>
      <c r="J52" s="29"/>
      <c r="K52" s="29"/>
    </row>
    <row r="53" spans="3:11" ht="12.75">
      <c r="C53" s="29"/>
      <c r="D53" s="29"/>
      <c r="E53" s="29"/>
      <c r="F53" s="29"/>
      <c r="G53" s="29"/>
      <c r="H53" s="40"/>
      <c r="I53" s="40"/>
      <c r="J53" s="40"/>
      <c r="K53" s="40"/>
    </row>
    <row r="54" spans="3:11" ht="12.75">
      <c r="C54" s="29"/>
      <c r="D54" s="29"/>
      <c r="E54" s="29"/>
      <c r="F54" s="29"/>
      <c r="G54" s="29"/>
      <c r="H54" s="40"/>
      <c r="I54" s="40"/>
      <c r="J54" s="40"/>
      <c r="K54" s="40"/>
    </row>
    <row r="55" spans="3:11" ht="12.75">
      <c r="C55" s="29"/>
      <c r="D55" s="29"/>
      <c r="E55" s="29"/>
      <c r="F55" s="29"/>
      <c r="G55" s="29"/>
      <c r="H55" s="40"/>
      <c r="I55" s="40"/>
      <c r="J55" s="40"/>
      <c r="K55" s="40"/>
    </row>
    <row r="57" spans="4:10" ht="12.75">
      <c r="D57" s="29"/>
      <c r="E57" s="29" t="s">
        <v>62</v>
      </c>
      <c r="F57" s="29"/>
      <c r="G57" s="29"/>
      <c r="H57" s="29"/>
      <c r="J57" s="18" t="s">
        <v>76</v>
      </c>
    </row>
    <row r="58" spans="4:8" ht="12.75">
      <c r="D58" s="29" t="s">
        <v>60</v>
      </c>
      <c r="E58" s="29">
        <f>-A40</f>
        <v>-2.5</v>
      </c>
      <c r="F58" s="29">
        <f>A40</f>
        <v>2.5</v>
      </c>
      <c r="G58" s="32">
        <f>G35</f>
        <v>-0.19653261301241232</v>
      </c>
      <c r="H58" s="32">
        <f>G36</f>
        <v>0.22776339847763172</v>
      </c>
    </row>
    <row r="59" spans="4:8" ht="12.75">
      <c r="D59" s="29" t="s">
        <v>61</v>
      </c>
      <c r="E59" s="29">
        <v>1</v>
      </c>
      <c r="F59" s="29">
        <v>1</v>
      </c>
      <c r="G59" s="29">
        <v>1.5</v>
      </c>
      <c r="H59" s="29">
        <v>1.5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43"/>
  <sheetViews>
    <sheetView zoomScalePageLayoutView="0" workbookViewId="0" topLeftCell="A18">
      <selection activeCell="E43" sqref="E43"/>
    </sheetView>
  </sheetViews>
  <sheetFormatPr defaultColWidth="11.421875" defaultRowHeight="12.75"/>
  <sheetData>
    <row r="4" spans="1:6" ht="12.75">
      <c r="A4" t="s">
        <v>43</v>
      </c>
      <c r="B4" t="s">
        <v>19</v>
      </c>
      <c r="C4" t="s">
        <v>20</v>
      </c>
      <c r="E4" t="s">
        <v>21</v>
      </c>
      <c r="F4" t="s">
        <v>22</v>
      </c>
    </row>
    <row r="5" spans="1:6" ht="12.75">
      <c r="A5" t="s">
        <v>44</v>
      </c>
      <c r="B5" s="2">
        <v>41163</v>
      </c>
      <c r="C5" s="2">
        <v>41163</v>
      </c>
      <c r="D5" s="2"/>
      <c r="E5" s="2">
        <v>41165</v>
      </c>
      <c r="F5" s="2">
        <v>41165</v>
      </c>
    </row>
    <row r="6" spans="1:6" ht="12.75">
      <c r="A6" t="s">
        <v>45</v>
      </c>
      <c r="B6">
        <v>1</v>
      </c>
      <c r="C6">
        <v>1</v>
      </c>
      <c r="E6">
        <v>2</v>
      </c>
      <c r="F6">
        <v>2</v>
      </c>
    </row>
    <row r="9" ht="12.75">
      <c r="A9" t="s">
        <v>46</v>
      </c>
    </row>
    <row r="11" spans="1:6" ht="12.75">
      <c r="A11">
        <v>1</v>
      </c>
      <c r="B11">
        <v>98.37</v>
      </c>
      <c r="C11">
        <v>97.94</v>
      </c>
      <c r="E11">
        <v>97.84</v>
      </c>
      <c r="F11">
        <v>96.73</v>
      </c>
    </row>
    <row r="12" spans="1:6" ht="12.75">
      <c r="A12">
        <v>2</v>
      </c>
      <c r="B12">
        <v>98.11</v>
      </c>
      <c r="C12">
        <v>98.42</v>
      </c>
      <c r="E12">
        <v>97.74</v>
      </c>
      <c r="F12">
        <v>96.5</v>
      </c>
    </row>
    <row r="13" spans="1:6" ht="12.75">
      <c r="A13">
        <v>3</v>
      </c>
      <c r="B13">
        <v>98.18</v>
      </c>
      <c r="C13">
        <v>98.11</v>
      </c>
      <c r="E13">
        <v>96.51</v>
      </c>
      <c r="F13">
        <v>96.79</v>
      </c>
    </row>
    <row r="14" spans="1:6" ht="12.75">
      <c r="A14">
        <v>4</v>
      </c>
      <c r="B14">
        <v>98.3</v>
      </c>
      <c r="C14">
        <v>98.06</v>
      </c>
      <c r="E14">
        <v>97.3</v>
      </c>
      <c r="F14">
        <v>96.97</v>
      </c>
    </row>
    <row r="15" spans="1:6" ht="12.75">
      <c r="A15">
        <v>5</v>
      </c>
      <c r="B15">
        <v>98.24</v>
      </c>
      <c r="C15">
        <v>97.79</v>
      </c>
      <c r="E15">
        <v>97.2</v>
      </c>
      <c r="F15">
        <v>96.65</v>
      </c>
    </row>
    <row r="16" spans="1:8" ht="12.75">
      <c r="A16">
        <v>6</v>
      </c>
      <c r="B16">
        <v>98.02</v>
      </c>
      <c r="C16">
        <v>96.64</v>
      </c>
      <c r="E16">
        <v>95.79</v>
      </c>
      <c r="F16">
        <v>97.15</v>
      </c>
      <c r="H16" s="3"/>
    </row>
    <row r="18" spans="1:9" ht="12.75">
      <c r="A18" t="s">
        <v>18</v>
      </c>
      <c r="B18" s="3">
        <f>AVERAGE(B11:B16)</f>
        <v>98.20333333333333</v>
      </c>
      <c r="C18" s="3">
        <f>AVERAGE(C11:C16)</f>
        <v>97.82666666666667</v>
      </c>
      <c r="E18" s="3">
        <f>AVERAGE(E11:E16)</f>
        <v>97.06333333333333</v>
      </c>
      <c r="F18" s="3">
        <f>AVERAGE(F11:F16)</f>
        <v>96.79833333333333</v>
      </c>
      <c r="H18">
        <f>STDEV(B18:F18)</f>
        <v>0.6535719164713253</v>
      </c>
      <c r="I18" t="s">
        <v>50</v>
      </c>
    </row>
    <row r="19" spans="1:9" ht="12.75">
      <c r="A19" t="s">
        <v>47</v>
      </c>
      <c r="B19">
        <f>VAR(B11:B16)</f>
        <v>0.016266666666667033</v>
      </c>
      <c r="C19">
        <f>VAR(C11:C16)</f>
        <v>0.3818266666666667</v>
      </c>
      <c r="E19">
        <f>VAR(E11:E16)</f>
        <v>0.6126666666666619</v>
      </c>
      <c r="F19">
        <f>VAR(F11:F16)</f>
        <v>0.05377666666666692</v>
      </c>
      <c r="H19">
        <f>VAR(B18,C18)</f>
        <v>0.07093888888888832</v>
      </c>
      <c r="I19" t="s">
        <v>52</v>
      </c>
    </row>
    <row r="20" spans="1:9" ht="12.75">
      <c r="A20" t="s">
        <v>17</v>
      </c>
      <c r="B20" s="1">
        <f>SQRT(B19)/B18</f>
        <v>0.0012987425049868781</v>
      </c>
      <c r="C20" s="1">
        <f>SQRT(C19)/C18</f>
        <v>0.006316490864766146</v>
      </c>
      <c r="E20" s="1">
        <f>SQRT(E19)/E18</f>
        <v>0.00806411893584852</v>
      </c>
      <c r="F20" s="1">
        <f>SQRT(F19)/F18</f>
        <v>0.0023956813932927206</v>
      </c>
      <c r="H20">
        <f>VAR(E18,F18)</f>
        <v>0.03511250000000015</v>
      </c>
      <c r="I20" t="s">
        <v>51</v>
      </c>
    </row>
    <row r="21" spans="8:9" ht="12.75">
      <c r="H21">
        <f>(H19+H20)/2</f>
        <v>0.05302569444444423</v>
      </c>
      <c r="I21" t="s">
        <v>53</v>
      </c>
    </row>
    <row r="22" spans="3:9" ht="12.75">
      <c r="C22" t="s">
        <v>47</v>
      </c>
      <c r="D22" t="s">
        <v>23</v>
      </c>
      <c r="E22" t="s">
        <v>17</v>
      </c>
      <c r="H22">
        <f>SQRT(H21)</f>
        <v>0.23027308666981522</v>
      </c>
      <c r="I22" t="s">
        <v>54</v>
      </c>
    </row>
    <row r="23" spans="1:5" ht="12.75">
      <c r="A23" t="s">
        <v>12</v>
      </c>
      <c r="C23">
        <f>(SUM(B19:F19)/4)</f>
        <v>0.2661341666666657</v>
      </c>
      <c r="D23">
        <f>SQRT(C23)</f>
        <v>0.5158819309363972</v>
      </c>
      <c r="E23" s="1">
        <f>D23/AVERAGE(B18:F18)</f>
        <v>0.005292566885020853</v>
      </c>
    </row>
    <row r="24" spans="1:9" ht="12.75">
      <c r="A24" t="s">
        <v>13</v>
      </c>
      <c r="C24">
        <f>H18^2+C23*(1-1/6)</f>
        <v>0.6489347222222224</v>
      </c>
      <c r="D24">
        <f>SQRT(C24)</f>
        <v>0.805564846689714</v>
      </c>
      <c r="E24" s="1">
        <f>D24/AVERAGE(B18:F18)</f>
        <v>0.008264499250028055</v>
      </c>
      <c r="H24">
        <f>H22*100/2.5</f>
        <v>9.21092346679261</v>
      </c>
      <c r="I24" t="s">
        <v>15</v>
      </c>
    </row>
    <row r="25" spans="1:4" ht="12.75">
      <c r="A25" s="17" t="s">
        <v>16</v>
      </c>
      <c r="D25" s="3">
        <f>D24/D23</f>
        <v>1.5615294864611793</v>
      </c>
    </row>
    <row r="27" spans="1:3" ht="12.75">
      <c r="A27" t="s">
        <v>48</v>
      </c>
      <c r="C27" s="3">
        <f>2.8*D23*SQRT(D25^2-1+1/6)</f>
        <v>1.8300013661197105</v>
      </c>
    </row>
    <row r="28" spans="1:3" ht="12.75">
      <c r="A28" t="s">
        <v>49</v>
      </c>
      <c r="C28" s="1">
        <f>E23*SQRT(5/CHIINV(0.95,5))</f>
        <v>0.011057534862753918</v>
      </c>
    </row>
    <row r="32" spans="1:3" ht="12.75">
      <c r="A32" t="s">
        <v>15</v>
      </c>
      <c r="C32" s="3">
        <f>100*H18/2.5</f>
        <v>26.14287665885301</v>
      </c>
    </row>
    <row r="39" spans="2:5" ht="12.75">
      <c r="B39" s="13" t="s">
        <v>0</v>
      </c>
      <c r="C39" s="15" t="s">
        <v>63</v>
      </c>
      <c r="D39" s="13"/>
      <c r="E39" s="13"/>
    </row>
    <row r="40" spans="2:7" ht="12.75">
      <c r="B40" s="13"/>
      <c r="C40" s="13"/>
      <c r="D40" s="13" t="s">
        <v>58</v>
      </c>
      <c r="E40" s="13"/>
      <c r="G40" s="18" t="s">
        <v>66</v>
      </c>
    </row>
    <row r="41" spans="2:7" ht="12.75">
      <c r="B41" s="13"/>
      <c r="C41" s="13" t="s">
        <v>2</v>
      </c>
      <c r="D41" s="13">
        <v>1.4</v>
      </c>
      <c r="E41" s="14">
        <f>ROUND(2.8*E23*100*SQRT(D41^2-1+1/6),2)</f>
        <v>1.57</v>
      </c>
      <c r="G41" s="18">
        <f>ROUND(ABS(AVERAGE(B18:C18)-AVERAGE(E18:F18)),2)</f>
        <v>1.08</v>
      </c>
    </row>
    <row r="42" spans="2:5" ht="12.75">
      <c r="B42" s="12"/>
      <c r="C42" s="12"/>
      <c r="D42" s="12"/>
      <c r="E42" s="12"/>
    </row>
    <row r="43" spans="2:6" ht="12.75">
      <c r="B43" s="12"/>
      <c r="C43" s="16" t="s">
        <v>64</v>
      </c>
      <c r="D43" s="12">
        <v>1.4</v>
      </c>
      <c r="E43" s="12">
        <f>SQRT(D43^2-1+1/6)</f>
        <v>1.0614455552060438</v>
      </c>
      <c r="F43" s="17" t="s">
        <v>65</v>
      </c>
    </row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I43"/>
  <sheetViews>
    <sheetView zoomScalePageLayoutView="0" workbookViewId="0" topLeftCell="A1">
      <selection activeCell="F10" sqref="F10:F15"/>
    </sheetView>
  </sheetViews>
  <sheetFormatPr defaultColWidth="11.421875" defaultRowHeight="12.75"/>
  <sheetData>
    <row r="4" spans="1:6" ht="12.75">
      <c r="A4" t="s">
        <v>43</v>
      </c>
      <c r="B4" t="s">
        <v>19</v>
      </c>
      <c r="C4" t="s">
        <v>20</v>
      </c>
      <c r="E4" t="s">
        <v>21</v>
      </c>
      <c r="F4" t="s">
        <v>22</v>
      </c>
    </row>
    <row r="5" spans="1:6" ht="12.75">
      <c r="A5" t="s">
        <v>45</v>
      </c>
      <c r="B5">
        <v>1</v>
      </c>
      <c r="C5">
        <v>1</v>
      </c>
      <c r="E5">
        <v>2</v>
      </c>
      <c r="F5">
        <v>2</v>
      </c>
    </row>
    <row r="8" ht="12.75">
      <c r="A8" t="s">
        <v>46</v>
      </c>
    </row>
    <row r="10" spans="1:6" ht="12.75">
      <c r="A10">
        <v>1</v>
      </c>
      <c r="B10">
        <v>100.68</v>
      </c>
      <c r="C10">
        <v>99.85</v>
      </c>
      <c r="E10">
        <v>100.9</v>
      </c>
      <c r="F10">
        <v>99.84</v>
      </c>
    </row>
    <row r="11" spans="1:6" ht="12.75">
      <c r="A11">
        <v>2</v>
      </c>
      <c r="B11">
        <v>100.15</v>
      </c>
      <c r="C11">
        <v>100.08</v>
      </c>
      <c r="E11">
        <v>100.32</v>
      </c>
      <c r="F11">
        <v>99.92</v>
      </c>
    </row>
    <row r="12" spans="1:6" ht="12.75">
      <c r="A12">
        <v>3</v>
      </c>
      <c r="B12">
        <v>100.91</v>
      </c>
      <c r="C12">
        <v>100.26</v>
      </c>
      <c r="E12">
        <v>100.24</v>
      </c>
      <c r="F12">
        <v>99.67</v>
      </c>
    </row>
    <row r="13" spans="1:6" ht="12.75">
      <c r="A13">
        <v>4</v>
      </c>
      <c r="B13">
        <v>100.29</v>
      </c>
      <c r="C13">
        <v>100.59</v>
      </c>
      <c r="E13">
        <v>100.45</v>
      </c>
      <c r="F13">
        <v>99.69</v>
      </c>
    </row>
    <row r="14" spans="1:6" ht="12.75">
      <c r="A14">
        <v>5</v>
      </c>
      <c r="B14">
        <v>100.47</v>
      </c>
      <c r="C14">
        <v>100.17</v>
      </c>
      <c r="E14">
        <v>99.42</v>
      </c>
      <c r="F14">
        <v>100.01</v>
      </c>
    </row>
    <row r="15" spans="1:8" ht="12.75">
      <c r="A15">
        <v>6</v>
      </c>
      <c r="B15">
        <v>100.08</v>
      </c>
      <c r="C15">
        <v>100.68</v>
      </c>
      <c r="E15">
        <v>100.25</v>
      </c>
      <c r="F15">
        <v>100.08</v>
      </c>
      <c r="H15" s="3"/>
    </row>
    <row r="17" spans="1:9" ht="12.75">
      <c r="A17" t="s">
        <v>18</v>
      </c>
      <c r="B17" s="3">
        <f>AVERAGE(B10:B15)</f>
        <v>100.43</v>
      </c>
      <c r="C17" s="3">
        <f>AVERAGE(C10:C15)</f>
        <v>100.27166666666666</v>
      </c>
      <c r="E17" s="3">
        <f>AVERAGE(E10:E15)</f>
        <v>100.26333333333332</v>
      </c>
      <c r="F17" s="3">
        <f>AVERAGE(F10:F15)</f>
        <v>99.86833333333334</v>
      </c>
      <c r="H17">
        <f>STDEV(B17:F17)</f>
        <v>0.2392852009786781</v>
      </c>
      <c r="I17" t="s">
        <v>50</v>
      </c>
    </row>
    <row r="18" spans="1:9" ht="12.75">
      <c r="A18" t="s">
        <v>47</v>
      </c>
      <c r="B18">
        <f>VAR(B10:B15)</f>
        <v>0.10299999999999927</v>
      </c>
      <c r="C18">
        <f>VAR(C10:C15)</f>
        <v>0.09861666666666921</v>
      </c>
      <c r="E18">
        <f>VAR(E10:E15)</f>
        <v>0.23106666666666764</v>
      </c>
      <c r="F18">
        <f>VAR(F10:F15)</f>
        <v>0.027896666666666837</v>
      </c>
      <c r="H18">
        <f>VAR(B17,C17)</f>
        <v>0.012534722222224173</v>
      </c>
      <c r="I18" t="s">
        <v>52</v>
      </c>
    </row>
    <row r="19" spans="1:9" ht="12.75">
      <c r="A19" t="s">
        <v>17</v>
      </c>
      <c r="B19" s="1">
        <f>SQRT(B18)/B17</f>
        <v>0.0031956201405717722</v>
      </c>
      <c r="C19" s="1">
        <f>SQRT(C18)/C17</f>
        <v>0.0031318209562080316</v>
      </c>
      <c r="E19" s="1">
        <f>SQRT(E18)/E17</f>
        <v>0.0047943144003086266</v>
      </c>
      <c r="F19" s="1">
        <f>SQRT(F18)/F17</f>
        <v>0.0016724315600325531</v>
      </c>
      <c r="H19">
        <f>VAR(E17,F17)</f>
        <v>0.07801249999999281</v>
      </c>
      <c r="I19" t="s">
        <v>51</v>
      </c>
    </row>
    <row r="20" spans="8:9" ht="12.75">
      <c r="H20">
        <f>(H18+H19)/2</f>
        <v>0.04527361111110849</v>
      </c>
      <c r="I20" t="s">
        <v>53</v>
      </c>
    </row>
    <row r="21" spans="3:9" ht="12.75">
      <c r="C21" t="s">
        <v>47</v>
      </c>
      <c r="D21" t="s">
        <v>23</v>
      </c>
      <c r="E21" t="s">
        <v>17</v>
      </c>
      <c r="H21">
        <f>SQRT(H20)</f>
        <v>0.21277596459917292</v>
      </c>
      <c r="I21" t="s">
        <v>54</v>
      </c>
    </row>
    <row r="22" spans="1:5" ht="12.75">
      <c r="A22" t="s">
        <v>12</v>
      </c>
      <c r="C22">
        <f>(SUM(B18:F18)/4)</f>
        <v>0.11514500000000075</v>
      </c>
      <c r="D22">
        <f>SQRT(C22)</f>
        <v>0.33933022264455126</v>
      </c>
      <c r="E22" s="1">
        <f>D22/AVERAGE(B17:F17)</f>
        <v>0.00338624754406205</v>
      </c>
    </row>
    <row r="23" spans="1:9" ht="12.75">
      <c r="A23" t="s">
        <v>13</v>
      </c>
      <c r="C23">
        <f>H17^2+C22*(1-1/6)</f>
        <v>0.15321157407407365</v>
      </c>
      <c r="D23">
        <f>SQRT(C23)</f>
        <v>0.3914225007253334</v>
      </c>
      <c r="E23" s="1">
        <f>D23/AVERAGE(B17:F17)</f>
        <v>0.003906087325325573</v>
      </c>
      <c r="H23">
        <f>H21*100/2.5</f>
        <v>8.511038583966917</v>
      </c>
      <c r="I23" t="s">
        <v>15</v>
      </c>
    </row>
    <row r="24" spans="1:4" ht="12.75">
      <c r="A24" s="17" t="s">
        <v>16</v>
      </c>
      <c r="D24" s="3">
        <f>D23/D22</f>
        <v>1.1535149969101008</v>
      </c>
    </row>
    <row r="26" spans="1:3" ht="12.75">
      <c r="A26" t="s">
        <v>48</v>
      </c>
      <c r="C26" s="3">
        <f>2.8*D22*SQRT(D24^2-1+1/6)</f>
        <v>0.6699985627402985</v>
      </c>
    </row>
    <row r="27" spans="1:3" ht="12.75">
      <c r="A27" t="s">
        <v>49</v>
      </c>
      <c r="C27" s="1">
        <f>E22*SQRT(5/CHIINV(0.95,5))</f>
        <v>0.007074742952867458</v>
      </c>
    </row>
    <row r="31" spans="1:3" ht="12.75">
      <c r="A31" t="s">
        <v>15</v>
      </c>
      <c r="C31" s="3">
        <f>100*H17/2.5</f>
        <v>9.571408039147123</v>
      </c>
    </row>
    <row r="39" spans="2:5" ht="12.75">
      <c r="B39" s="13" t="s">
        <v>0</v>
      </c>
      <c r="C39" s="15" t="s">
        <v>63</v>
      </c>
      <c r="D39" s="13"/>
      <c r="E39" s="13"/>
    </row>
    <row r="40" spans="2:7" ht="12.75">
      <c r="B40" s="13"/>
      <c r="C40" s="13"/>
      <c r="D40" s="13" t="s">
        <v>58</v>
      </c>
      <c r="E40" s="13"/>
      <c r="G40" s="18" t="s">
        <v>66</v>
      </c>
    </row>
    <row r="41" spans="2:7" ht="12.75">
      <c r="B41" s="13"/>
      <c r="C41" s="13" t="s">
        <v>2</v>
      </c>
      <c r="D41" s="13">
        <v>1.4</v>
      </c>
      <c r="E41" s="14">
        <f>ROUND(2.8*E22*100*SQRT(D41^2-1+1/6),2)</f>
        <v>1.01</v>
      </c>
      <c r="G41" s="18">
        <f>ROUND(ABS(AVERAGE(B17:C17)-AVERAGE(E17:F17)),2)</f>
        <v>0.28</v>
      </c>
    </row>
    <row r="42" spans="2:5" ht="12.75">
      <c r="B42" s="12"/>
      <c r="C42" s="12"/>
      <c r="D42" s="12"/>
      <c r="E42" s="12"/>
    </row>
    <row r="43" spans="2:5" ht="12.75">
      <c r="B43" s="12"/>
      <c r="C43" s="12"/>
      <c r="D43" s="12"/>
      <c r="E43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I43"/>
  <sheetViews>
    <sheetView zoomScalePageLayoutView="0" workbookViewId="0" topLeftCell="A1">
      <selection activeCell="F10" sqref="F10:F15"/>
    </sheetView>
  </sheetViews>
  <sheetFormatPr defaultColWidth="11.421875" defaultRowHeight="12.75"/>
  <sheetData>
    <row r="4" spans="1:6" ht="12.75">
      <c r="A4" t="s">
        <v>43</v>
      </c>
      <c r="B4" t="s">
        <v>19</v>
      </c>
      <c r="C4" t="s">
        <v>20</v>
      </c>
      <c r="E4" t="s">
        <v>21</v>
      </c>
      <c r="F4" t="s">
        <v>22</v>
      </c>
    </row>
    <row r="5" spans="1:6" ht="12.75">
      <c r="A5" t="s">
        <v>45</v>
      </c>
      <c r="B5">
        <v>1</v>
      </c>
      <c r="C5">
        <v>1</v>
      </c>
      <c r="E5">
        <v>2</v>
      </c>
      <c r="F5">
        <v>2</v>
      </c>
    </row>
    <row r="8" ht="12.75">
      <c r="A8" t="s">
        <v>46</v>
      </c>
    </row>
    <row r="10" spans="1:6" ht="12.75">
      <c r="A10">
        <v>1</v>
      </c>
      <c r="B10">
        <v>99.47</v>
      </c>
      <c r="C10">
        <v>99.79</v>
      </c>
      <c r="E10">
        <v>99.95</v>
      </c>
      <c r="F10">
        <v>99.42</v>
      </c>
    </row>
    <row r="11" spans="1:6" ht="12.75">
      <c r="A11">
        <v>2</v>
      </c>
      <c r="B11">
        <v>99.62</v>
      </c>
      <c r="C11">
        <v>99.74</v>
      </c>
      <c r="E11">
        <v>99.92</v>
      </c>
      <c r="F11">
        <v>99.34</v>
      </c>
    </row>
    <row r="12" spans="1:6" ht="12.75">
      <c r="A12">
        <v>3</v>
      </c>
      <c r="B12">
        <v>99.37</v>
      </c>
      <c r="C12">
        <v>99.58</v>
      </c>
      <c r="E12">
        <v>100.04</v>
      </c>
      <c r="F12">
        <v>99.53</v>
      </c>
    </row>
    <row r="13" spans="1:6" ht="12.75">
      <c r="A13">
        <v>4</v>
      </c>
      <c r="B13">
        <v>99.31</v>
      </c>
      <c r="C13">
        <v>99.75</v>
      </c>
      <c r="E13">
        <v>99.89</v>
      </c>
      <c r="F13">
        <v>98.82</v>
      </c>
    </row>
    <row r="14" spans="1:6" ht="12.75">
      <c r="A14">
        <v>5</v>
      </c>
      <c r="B14">
        <v>99.53</v>
      </c>
      <c r="C14">
        <v>99.54</v>
      </c>
      <c r="E14">
        <v>99.83</v>
      </c>
      <c r="F14">
        <v>99.38</v>
      </c>
    </row>
    <row r="15" spans="1:8" ht="12.75">
      <c r="A15">
        <v>6</v>
      </c>
      <c r="B15">
        <v>100.21</v>
      </c>
      <c r="C15">
        <v>99.62</v>
      </c>
      <c r="E15">
        <v>99.81</v>
      </c>
      <c r="F15">
        <v>99.42</v>
      </c>
      <c r="H15" s="3"/>
    </row>
    <row r="17" spans="1:9" ht="12.75">
      <c r="A17" t="s">
        <v>18</v>
      </c>
      <c r="B17" s="3">
        <f>AVERAGE(B10:B15)</f>
        <v>99.58500000000002</v>
      </c>
      <c r="C17" s="3">
        <f>AVERAGE(C10:C15)</f>
        <v>99.67</v>
      </c>
      <c r="E17" s="3">
        <f>AVERAGE(E10:E15)</f>
        <v>99.90666666666668</v>
      </c>
      <c r="F17" s="3">
        <f>AVERAGE(F10:F15)</f>
        <v>99.31833333333333</v>
      </c>
      <c r="H17">
        <f>STDEV(B17:F17)</f>
        <v>0.24283434377888513</v>
      </c>
      <c r="I17" t="s">
        <v>50</v>
      </c>
    </row>
    <row r="18" spans="1:9" ht="12.75">
      <c r="A18" t="s">
        <v>47</v>
      </c>
      <c r="B18">
        <f>VAR(B10:B15)</f>
        <v>0.10598999999999789</v>
      </c>
      <c r="C18">
        <f>VAR(C10:C15)</f>
        <v>0.010639999999999802</v>
      </c>
      <c r="E18">
        <f>VAR(E10:E15)</f>
        <v>0.007066666666667019</v>
      </c>
      <c r="F18">
        <f>VAR(F10:F15)</f>
        <v>0.06361666666666818</v>
      </c>
      <c r="H18">
        <f>VAR(B17,C17)</f>
        <v>0.0036124999999982608</v>
      </c>
      <c r="I18" t="s">
        <v>52</v>
      </c>
    </row>
    <row r="19" spans="1:9" ht="12.75">
      <c r="A19" t="s">
        <v>17</v>
      </c>
      <c r="B19" s="1">
        <f>SQRT(B18)/B17</f>
        <v>0.003269177628978768</v>
      </c>
      <c r="C19" s="1">
        <f>SQRT(C18)/C17</f>
        <v>0.0010349189893229663</v>
      </c>
      <c r="E19" s="1">
        <f>SQRT(E18)/E17</f>
        <v>0.0008414200062003739</v>
      </c>
      <c r="F19" s="1">
        <f>SQRT(F18)/F17</f>
        <v>0.002539545695590688</v>
      </c>
      <c r="H19">
        <f>VAR(E17,F17)</f>
        <v>0.1730680555555668</v>
      </c>
      <c r="I19" t="s">
        <v>51</v>
      </c>
    </row>
    <row r="20" spans="8:9" ht="12.75">
      <c r="H20">
        <f>(H18+H19)/2</f>
        <v>0.08834027777778254</v>
      </c>
      <c r="I20" t="s">
        <v>53</v>
      </c>
    </row>
    <row r="21" spans="3:9" ht="12.75">
      <c r="C21" t="s">
        <v>47</v>
      </c>
      <c r="D21" t="s">
        <v>23</v>
      </c>
      <c r="E21" t="s">
        <v>17</v>
      </c>
      <c r="H21">
        <f>SQRT(H20)</f>
        <v>0.2972209241923969</v>
      </c>
      <c r="I21" t="s">
        <v>54</v>
      </c>
    </row>
    <row r="22" spans="1:5" ht="12.75">
      <c r="A22" t="s">
        <v>12</v>
      </c>
      <c r="C22">
        <f>(SUM(B18:F18)/4)</f>
        <v>0.04682833333333322</v>
      </c>
      <c r="D22">
        <f>SQRT(C22)</f>
        <v>0.2163985520592345</v>
      </c>
      <c r="E22" s="1">
        <f>D22/AVERAGE(B17:F17)</f>
        <v>0.002172240032716668</v>
      </c>
    </row>
    <row r="23" spans="1:9" ht="12.75">
      <c r="A23" t="s">
        <v>13</v>
      </c>
      <c r="C23">
        <f>H17^2+C22*(1-1/6)</f>
        <v>0.09799212962963279</v>
      </c>
      <c r="D23">
        <f>SQRT(C23)</f>
        <v>0.3130369461096131</v>
      </c>
      <c r="E23" s="1">
        <f>D23/AVERAGE(B17:F17)</f>
        <v>0.0031423102400081615</v>
      </c>
      <c r="H23">
        <f>H21*100/2.5</f>
        <v>11.888836967695875</v>
      </c>
      <c r="I23" t="s">
        <v>15</v>
      </c>
    </row>
    <row r="24" spans="1:4" ht="12.75">
      <c r="A24" s="17" t="s">
        <v>16</v>
      </c>
      <c r="D24" s="3">
        <f>D23/D22</f>
        <v>1.4465759735024746</v>
      </c>
    </row>
    <row r="26" spans="1:3" ht="12.75">
      <c r="A26" t="s">
        <v>48</v>
      </c>
      <c r="C26" s="3">
        <f>2.8*D22*SQRT(D24^2-1+1/6)</f>
        <v>0.6799361625808784</v>
      </c>
    </row>
    <row r="27" spans="1:3" ht="12.75">
      <c r="A27" t="s">
        <v>49</v>
      </c>
      <c r="C27" s="1">
        <f>E22*SQRT(5/CHIINV(0.95,5))</f>
        <v>0.004538368699697525</v>
      </c>
    </row>
    <row r="31" spans="1:3" ht="12.75">
      <c r="A31" t="s">
        <v>15</v>
      </c>
      <c r="C31" s="3">
        <f>100*H17/2.5</f>
        <v>9.713373751155405</v>
      </c>
    </row>
    <row r="39" spans="2:5" ht="12.75">
      <c r="B39" s="13" t="s">
        <v>0</v>
      </c>
      <c r="C39" s="15" t="s">
        <v>63</v>
      </c>
      <c r="D39" s="13"/>
      <c r="E39" s="13"/>
    </row>
    <row r="40" spans="2:7" ht="12.75">
      <c r="B40" s="13"/>
      <c r="C40" s="13"/>
      <c r="D40" s="13" t="s">
        <v>58</v>
      </c>
      <c r="E40" s="13"/>
      <c r="G40" s="18" t="s">
        <v>66</v>
      </c>
    </row>
    <row r="41" spans="2:7" ht="12.75">
      <c r="B41" s="13"/>
      <c r="C41" s="13" t="s">
        <v>2</v>
      </c>
      <c r="D41" s="13">
        <v>1.4</v>
      </c>
      <c r="E41" s="14">
        <f>ROUND(2.8*E22*100*SQRT(D41^2-1+1/6),2)</f>
        <v>0.65</v>
      </c>
      <c r="G41" s="18">
        <f>ROUND(ABS(AVERAGE(B17:C17)-AVERAGE(E17:F17)),2)</f>
        <v>0.02</v>
      </c>
    </row>
    <row r="42" spans="2:5" ht="12.75">
      <c r="B42" s="12"/>
      <c r="C42" s="12"/>
      <c r="D42" s="12"/>
      <c r="E42" s="12"/>
    </row>
    <row r="43" spans="2:5" ht="12.75">
      <c r="B43" s="12"/>
      <c r="C43" s="12"/>
      <c r="D43" s="12"/>
      <c r="E43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7">
      <selection activeCell="D54" sqref="D54"/>
    </sheetView>
  </sheetViews>
  <sheetFormatPr defaultColWidth="11.421875" defaultRowHeight="12.75"/>
  <cols>
    <col min="1" max="2" width="11.421875" style="0" customWidth="1"/>
    <col min="3" max="3" width="12.421875" style="0" bestFit="1" customWidth="1"/>
    <col min="7" max="7" width="19.140625" style="0" bestFit="1" customWidth="1"/>
    <col min="11" max="11" width="12.421875" style="0" bestFit="1" customWidth="1"/>
    <col min="15" max="15" width="12.421875" style="0" bestFit="1" customWidth="1"/>
    <col min="18" max="19" width="11.57421875" style="0" bestFit="1" customWidth="1"/>
    <col min="23" max="23" width="12.421875" style="0" bestFit="1" customWidth="1"/>
  </cols>
  <sheetData>
    <row r="1" ht="12.75">
      <c r="A1" s="11" t="s">
        <v>57</v>
      </c>
    </row>
    <row r="2" ht="15.75">
      <c r="A2" s="11" t="s">
        <v>74</v>
      </c>
    </row>
    <row r="4" spans="1:9" ht="12.75">
      <c r="A4" t="s">
        <v>43</v>
      </c>
      <c r="B4" t="s">
        <v>19</v>
      </c>
      <c r="D4" t="s">
        <v>20</v>
      </c>
      <c r="G4" t="s">
        <v>21</v>
      </c>
      <c r="I4" t="s">
        <v>22</v>
      </c>
    </row>
    <row r="5" spans="1:9" ht="12.75">
      <c r="A5" t="s">
        <v>44</v>
      </c>
      <c r="B5" s="2">
        <v>41163</v>
      </c>
      <c r="C5" s="2"/>
      <c r="D5" s="2">
        <v>41163</v>
      </c>
      <c r="E5" s="2"/>
      <c r="F5" s="2"/>
      <c r="G5" s="2">
        <v>41165</v>
      </c>
      <c r="H5" s="2"/>
      <c r="I5" s="2">
        <v>41165</v>
      </c>
    </row>
    <row r="6" spans="1:9" ht="12.75">
      <c r="A6" t="s">
        <v>45</v>
      </c>
      <c r="B6">
        <v>1</v>
      </c>
      <c r="D6">
        <v>1</v>
      </c>
      <c r="G6">
        <v>2</v>
      </c>
      <c r="I6">
        <v>2</v>
      </c>
    </row>
    <row r="9" ht="12.75">
      <c r="A9" t="s">
        <v>46</v>
      </c>
    </row>
    <row r="10" spans="3:10" ht="12.75">
      <c r="C10" s="4" t="s">
        <v>24</v>
      </c>
      <c r="E10" s="4" t="s">
        <v>24</v>
      </c>
      <c r="H10" s="4" t="s">
        <v>24</v>
      </c>
      <c r="J10" s="4" t="s">
        <v>24</v>
      </c>
    </row>
    <row r="11" spans="1:10" ht="12.75">
      <c r="A11">
        <v>1</v>
      </c>
      <c r="B11">
        <v>98.37</v>
      </c>
      <c r="C11" s="5">
        <f>LN(B11)</f>
        <v>4.588735879524666</v>
      </c>
      <c r="D11">
        <v>97.94</v>
      </c>
      <c r="E11" s="5">
        <f>LN(D11)</f>
        <v>4.584355046274172</v>
      </c>
      <c r="G11">
        <v>97.84</v>
      </c>
      <c r="H11" s="5">
        <f aca="true" t="shared" si="0" ref="H11:H16">LN(G11)</f>
        <v>4.583333491378917</v>
      </c>
      <c r="I11">
        <v>96.73</v>
      </c>
      <c r="J11" s="5">
        <f aca="true" t="shared" si="1" ref="J11:J16">LN(I11)</f>
        <v>4.571923592194456</v>
      </c>
    </row>
    <row r="12" spans="1:10" ht="12.75">
      <c r="A12">
        <v>2</v>
      </c>
      <c r="B12">
        <v>98.11</v>
      </c>
      <c r="C12" s="5">
        <f aca="true" t="shared" si="2" ref="C12:E16">LN(B12)</f>
        <v>4.5860892981753</v>
      </c>
      <c r="D12">
        <v>98.42</v>
      </c>
      <c r="E12" s="5">
        <f t="shared" si="2"/>
        <v>4.589244035437832</v>
      </c>
      <c r="G12">
        <v>97.74</v>
      </c>
      <c r="H12" s="5">
        <f t="shared" si="0"/>
        <v>4.582310891842009</v>
      </c>
      <c r="I12">
        <v>96.5</v>
      </c>
      <c r="J12" s="5">
        <f t="shared" si="1"/>
        <v>4.56954300834494</v>
      </c>
    </row>
    <row r="13" spans="1:10" ht="12.75">
      <c r="A13">
        <v>3</v>
      </c>
      <c r="B13">
        <v>98.18</v>
      </c>
      <c r="C13" s="5">
        <f t="shared" si="2"/>
        <v>4.586802528629907</v>
      </c>
      <c r="D13">
        <v>98.11</v>
      </c>
      <c r="E13" s="5">
        <f t="shared" si="2"/>
        <v>4.5860892981753</v>
      </c>
      <c r="G13">
        <v>96.51</v>
      </c>
      <c r="H13" s="5">
        <f t="shared" si="0"/>
        <v>4.569646629919045</v>
      </c>
      <c r="I13">
        <v>96.79</v>
      </c>
      <c r="J13" s="5">
        <f t="shared" si="1"/>
        <v>4.572543683160998</v>
      </c>
    </row>
    <row r="14" spans="1:10" ht="12.75">
      <c r="A14">
        <v>4</v>
      </c>
      <c r="B14">
        <v>98.3</v>
      </c>
      <c r="C14" s="5">
        <f t="shared" si="2"/>
        <v>4.5880240271531205</v>
      </c>
      <c r="D14">
        <v>98.06</v>
      </c>
      <c r="E14" s="5">
        <f t="shared" si="2"/>
        <v>4.585579536223087</v>
      </c>
      <c r="G14">
        <v>97.3</v>
      </c>
      <c r="H14" s="5">
        <f t="shared" si="0"/>
        <v>4.577798989191959</v>
      </c>
      <c r="I14">
        <v>96.97</v>
      </c>
      <c r="J14" s="5">
        <f t="shared" si="1"/>
        <v>4.574401652316455</v>
      </c>
    </row>
    <row r="15" spans="1:10" ht="12.75">
      <c r="A15">
        <v>5</v>
      </c>
      <c r="B15">
        <v>98.24</v>
      </c>
      <c r="C15" s="5">
        <f t="shared" si="2"/>
        <v>4.587413464398832</v>
      </c>
      <c r="D15">
        <v>97.79</v>
      </c>
      <c r="E15" s="5">
        <f t="shared" si="2"/>
        <v>4.5828223223241835</v>
      </c>
      <c r="G15">
        <v>97.2</v>
      </c>
      <c r="H15" s="5">
        <f t="shared" si="0"/>
        <v>4.576770711466393</v>
      </c>
      <c r="I15">
        <v>96.65</v>
      </c>
      <c r="J15" s="5">
        <f t="shared" si="1"/>
        <v>4.57109620565434</v>
      </c>
    </row>
    <row r="16" spans="1:11" ht="12.75">
      <c r="A16">
        <v>6</v>
      </c>
      <c r="B16">
        <v>98.02</v>
      </c>
      <c r="C16" s="5">
        <f t="shared" si="2"/>
        <v>4.585171539481402</v>
      </c>
      <c r="D16">
        <v>96.64</v>
      </c>
      <c r="E16" s="5">
        <f t="shared" si="2"/>
        <v>4.570992734186505</v>
      </c>
      <c r="G16">
        <v>95.79</v>
      </c>
      <c r="H16" s="5">
        <f t="shared" si="0"/>
        <v>4.5621582953948</v>
      </c>
      <c r="I16">
        <v>97.15</v>
      </c>
      <c r="J16" s="5">
        <f t="shared" si="1"/>
        <v>4.576256175823449</v>
      </c>
      <c r="K16" s="3"/>
    </row>
    <row r="17" spans="3:10" ht="12.75">
      <c r="C17" s="4"/>
      <c r="E17" s="4"/>
      <c r="H17" s="4"/>
      <c r="J17" s="4"/>
    </row>
    <row r="18" spans="1:12" ht="12.75">
      <c r="A18" t="s">
        <v>18</v>
      </c>
      <c r="B18" s="3">
        <f>AVERAGE(B11:B16)</f>
        <v>98.20333333333333</v>
      </c>
      <c r="C18" s="6">
        <f>AVERAGE(C11:C16)</f>
        <v>4.587039456227204</v>
      </c>
      <c r="D18" s="3">
        <f>AVERAGE(D11:D16)</f>
        <v>97.82666666666667</v>
      </c>
      <c r="E18" s="6">
        <f>AVERAGE(E11:E16)</f>
        <v>4.583180495436847</v>
      </c>
      <c r="G18" s="3">
        <f>AVERAGE(G11:G16)</f>
        <v>97.06333333333333</v>
      </c>
      <c r="H18" s="6">
        <f>AVERAGE(H11:H16)</f>
        <v>4.575336501532187</v>
      </c>
      <c r="I18" s="3">
        <f>AVERAGE(I11:I16)</f>
        <v>96.79833333333333</v>
      </c>
      <c r="J18" s="6">
        <f>AVERAGE(J11:J16)</f>
        <v>4.572627386249106</v>
      </c>
      <c r="L18" s="19"/>
    </row>
    <row r="19" spans="1:10" ht="12.75">
      <c r="A19" s="8" t="s">
        <v>23</v>
      </c>
      <c r="B19" s="3">
        <f>_xlfn.STDEV.S(B11:B16)</f>
        <v>0.12754084313139472</v>
      </c>
      <c r="C19" s="9">
        <f>_xlfn.STDEV.S(C11:C16)</f>
        <v>0.001298858114189955</v>
      </c>
      <c r="D19" s="3">
        <f>_xlfn.STDEV.S(D11:D16)</f>
        <v>0.6179212463305228</v>
      </c>
      <c r="E19" s="9">
        <f>_xlfn.STDEV.S(E11:E16)</f>
        <v>0.006340858449015528</v>
      </c>
      <c r="G19" s="3">
        <f>_xlfn.STDEV.S(G11:G16)</f>
        <v>0.7827302643099102</v>
      </c>
      <c r="H19" s="9">
        <f>_xlfn.STDEV.S(H11:H16)</f>
        <v>0.008083990677701698</v>
      </c>
      <c r="I19" s="3">
        <f>_xlfn.STDEV.S(I11:I16)</f>
        <v>0.2318979660684132</v>
      </c>
      <c r="J19" s="9">
        <f>_xlfn.STDEV.S(J11:J16)</f>
        <v>0.002394843092998849</v>
      </c>
    </row>
    <row r="20" spans="1:10" ht="12.75">
      <c r="A20" t="s">
        <v>47</v>
      </c>
      <c r="B20">
        <f>VAR(B11:B16)</f>
        <v>0.016266666666667033</v>
      </c>
      <c r="C20" s="10">
        <f>VAR(C11:C16)</f>
        <v>1.6870324007970863E-06</v>
      </c>
      <c r="D20">
        <f>VAR(D11:D16)</f>
        <v>0.3818266666666667</v>
      </c>
      <c r="E20" s="10">
        <f>VAR(E11:E16)</f>
        <v>4.0206485870451614E-05</v>
      </c>
      <c r="G20">
        <f>VAR(G11:G16)</f>
        <v>0.6126666666666619</v>
      </c>
      <c r="H20" s="10">
        <f>VAR(H11:H16)</f>
        <v>6.535090527716797E-05</v>
      </c>
      <c r="I20">
        <f>VAR(I11:I16)</f>
        <v>0.05377666666666692</v>
      </c>
      <c r="J20" s="10">
        <f>VAR(J11:J16)</f>
        <v>5.735273440084293E-06</v>
      </c>
    </row>
    <row r="21" spans="1:10" ht="12.75">
      <c r="A21" t="s">
        <v>17</v>
      </c>
      <c r="B21" s="1">
        <f>SQRT(B20)/B18</f>
        <v>0.0012987425049868781</v>
      </c>
      <c r="C21" s="7">
        <f>SQRT(C20)/C18</f>
        <v>0.0002831582607005202</v>
      </c>
      <c r="D21" s="1">
        <f>SQRT(D20)/D18</f>
        <v>0.006316490864766146</v>
      </c>
      <c r="E21" s="7">
        <f>SQRT(E20)/E18</f>
        <v>0.0013835061602589466</v>
      </c>
      <c r="G21" s="1">
        <f>SQRT(G20)/G18</f>
        <v>0.00806411893584852</v>
      </c>
      <c r="H21" s="7">
        <f>SQRT(H20)/H18</f>
        <v>0.001766862541147418</v>
      </c>
      <c r="I21" s="1">
        <f>SQRT(I20)/I18</f>
        <v>0.0023956813932927206</v>
      </c>
      <c r="J21" s="7">
        <f>SQRT(J20)/J18</f>
        <v>0.000523734582048095</v>
      </c>
    </row>
    <row r="23" spans="1:20" ht="12.75">
      <c r="A23" s="17" t="s">
        <v>77</v>
      </c>
      <c r="H23" s="20"/>
      <c r="I23" s="27" t="s">
        <v>91</v>
      </c>
      <c r="J23" s="4"/>
      <c r="K23" s="4"/>
      <c r="L23" s="4"/>
      <c r="O23" s="59"/>
      <c r="P23" s="59"/>
      <c r="Q23" s="20"/>
      <c r="R23" s="20"/>
      <c r="S23" s="20"/>
      <c r="T23" s="20"/>
    </row>
    <row r="24" spans="1:20" ht="12.75">
      <c r="A24" s="11" t="s">
        <v>67</v>
      </c>
      <c r="C24" s="17">
        <f>SQRT((((5/16)*B19^2+(5/16)*D19^2+(5/16)*G19^2+(5/16)*I19^2)/(24-4))*(4/6))</f>
        <v>0.10530395819299039</v>
      </c>
      <c r="E24" s="11" t="s">
        <v>56</v>
      </c>
      <c r="F24">
        <f>(B18+D18)/2-(G18+I18)/2</f>
        <v>1.0841666666666612</v>
      </c>
      <c r="H24" s="20"/>
      <c r="I24" s="24" t="s">
        <v>67</v>
      </c>
      <c r="J24" s="22"/>
      <c r="K24" s="50">
        <f>SQRT(((5/16*C19^2+5/16*E19^2+5/16*H19^2+5/16*J19^2)/(24-4))*(4/6))</f>
        <v>0.001084837242921821</v>
      </c>
      <c r="L24" s="22"/>
      <c r="M24" s="49" t="s">
        <v>56</v>
      </c>
      <c r="N24" s="51">
        <f>(C18+E18)/2-(H18+J18)/2</f>
        <v>0.01112803194137868</v>
      </c>
      <c r="O24" s="59"/>
      <c r="P24" s="59"/>
      <c r="Q24" s="20"/>
      <c r="R24" s="20"/>
      <c r="S24" s="20"/>
      <c r="T24" s="20"/>
    </row>
    <row r="25" spans="1:23" ht="12.75">
      <c r="A25" s="11" t="s">
        <v>82</v>
      </c>
      <c r="C25">
        <f>24-4</f>
        <v>20</v>
      </c>
      <c r="H25" s="20"/>
      <c r="I25" s="24" t="s">
        <v>84</v>
      </c>
      <c r="K25" s="4">
        <f>24-4</f>
        <v>20</v>
      </c>
      <c r="L25" s="16"/>
      <c r="M25" s="16"/>
      <c r="N25" s="25"/>
      <c r="O25" s="59"/>
      <c r="P25" s="59"/>
      <c r="Q25" s="20"/>
      <c r="R25" s="20"/>
      <c r="S25" s="20"/>
      <c r="T25" s="20"/>
      <c r="V25" s="20"/>
      <c r="W25" s="20"/>
    </row>
    <row r="26" spans="1:20" ht="12.75">
      <c r="A26" s="11" t="s">
        <v>25</v>
      </c>
      <c r="C26">
        <f>TINV(0.1,C25)</f>
        <v>1.7247182429207868</v>
      </c>
      <c r="H26" s="20"/>
      <c r="I26" s="24" t="s">
        <v>25</v>
      </c>
      <c r="K26" s="4">
        <f>TINV(0.1,K25)</f>
        <v>1.7247182429207868</v>
      </c>
      <c r="O26" s="59"/>
      <c r="P26" s="59"/>
      <c r="Q26" s="20"/>
      <c r="R26" s="20"/>
      <c r="S26" s="20"/>
      <c r="T26" s="20"/>
    </row>
    <row r="27" spans="7:20" ht="12.75">
      <c r="G27" s="21"/>
      <c r="H27" s="20"/>
      <c r="I27" s="26"/>
      <c r="O27" s="59"/>
      <c r="P27" s="59"/>
      <c r="Q27" s="20"/>
      <c r="R27" s="20"/>
      <c r="S27" s="20"/>
      <c r="T27" s="20"/>
    </row>
    <row r="28" spans="1:20" ht="12.75">
      <c r="A28" s="11" t="s">
        <v>26</v>
      </c>
      <c r="C28">
        <f>F24-C26*C24</f>
        <v>0.9025470089194427</v>
      </c>
      <c r="H28" s="20"/>
      <c r="I28" s="27" t="s">
        <v>28</v>
      </c>
      <c r="K28" s="4">
        <f>N24-K26*K24</f>
        <v>0.009256993357911527</v>
      </c>
      <c r="O28" s="59"/>
      <c r="P28" s="59"/>
      <c r="Q28" s="20"/>
      <c r="R28" s="59"/>
      <c r="S28" s="20"/>
      <c r="T28" s="20"/>
    </row>
    <row r="29" spans="1:20" ht="12.75">
      <c r="A29" s="11" t="s">
        <v>27</v>
      </c>
      <c r="C29">
        <f>F24+C26*C24</f>
        <v>1.2657863244138796</v>
      </c>
      <c r="H29" s="20"/>
      <c r="I29" s="27" t="s">
        <v>29</v>
      </c>
      <c r="K29" s="4">
        <f>N24+K26*K24</f>
        <v>0.012999070524845833</v>
      </c>
      <c r="O29" s="59"/>
      <c r="P29" s="59"/>
      <c r="Q29" s="20"/>
      <c r="R29" s="20"/>
      <c r="S29" s="20"/>
      <c r="T29" s="20"/>
    </row>
    <row r="30" spans="8:20" ht="12.75">
      <c r="H30" s="20"/>
      <c r="I30" s="26"/>
      <c r="O30" s="59"/>
      <c r="P30" s="59"/>
      <c r="Q30" s="20"/>
      <c r="R30" s="20"/>
      <c r="S30" s="20"/>
      <c r="T30" s="20"/>
    </row>
    <row r="31" spans="9:25" ht="12.75">
      <c r="I31" s="24" t="s">
        <v>26</v>
      </c>
      <c r="K31" s="4">
        <f>100*(EXP(K28)-1)</f>
        <v>0.9299971835720733</v>
      </c>
      <c r="T31" s="23"/>
      <c r="U31" s="23"/>
      <c r="V31" s="23"/>
      <c r="W31" s="23"/>
      <c r="X31" s="23"/>
      <c r="Y31" s="23"/>
    </row>
    <row r="32" spans="9:25" ht="12.75">
      <c r="I32" s="24" t="s">
        <v>27</v>
      </c>
      <c r="K32" s="4">
        <f>100*(EXP(K29)-1)</f>
        <v>1.3083925723033518</v>
      </c>
      <c r="M32" s="18" t="s">
        <v>75</v>
      </c>
      <c r="T32" s="23"/>
      <c r="U32" s="23"/>
      <c r="V32" s="23"/>
      <c r="W32" s="23"/>
      <c r="X32" s="23"/>
      <c r="Y32" s="23"/>
    </row>
    <row r="33" spans="20:25" ht="12.75">
      <c r="T33" s="23"/>
      <c r="U33" s="23"/>
      <c r="V33" s="23"/>
      <c r="W33" s="23"/>
      <c r="X33" s="23"/>
      <c r="Y33" s="23"/>
    </row>
    <row r="34" spans="20:25" ht="12.75">
      <c r="T34" s="23"/>
      <c r="U34" s="23"/>
      <c r="V34" s="23"/>
      <c r="W34" s="23"/>
      <c r="X34" s="23"/>
      <c r="Y34" s="23"/>
    </row>
    <row r="35" spans="20:25" ht="12.75">
      <c r="T35" s="23"/>
      <c r="U35" s="23"/>
      <c r="V35" s="23"/>
      <c r="W35" s="23"/>
      <c r="X35" s="23"/>
      <c r="Y35" s="23"/>
    </row>
    <row r="36" spans="8:25" ht="12.75">
      <c r="H36" t="s">
        <v>62</v>
      </c>
      <c r="T36" s="23"/>
      <c r="U36" s="23"/>
      <c r="V36" s="23"/>
      <c r="W36" s="23"/>
      <c r="X36" s="23"/>
      <c r="Y36" s="23"/>
    </row>
    <row r="37" spans="7:25" ht="12.75">
      <c r="G37" t="s">
        <v>60</v>
      </c>
      <c r="H37">
        <v>-2.5</v>
      </c>
      <c r="I37">
        <v>2.5</v>
      </c>
      <c r="J37">
        <f>C28</f>
        <v>0.9025470089194427</v>
      </c>
      <c r="K37">
        <f>C29</f>
        <v>1.2657863244138796</v>
      </c>
      <c r="T37" s="23"/>
      <c r="U37" s="23"/>
      <c r="V37" s="23"/>
      <c r="W37" s="23"/>
      <c r="X37" s="23"/>
      <c r="Y37" s="23"/>
    </row>
    <row r="38" spans="7:11" ht="12.75">
      <c r="G38" t="s">
        <v>61</v>
      </c>
      <c r="H38">
        <v>1</v>
      </c>
      <c r="I38">
        <v>1</v>
      </c>
      <c r="J38">
        <v>1.5</v>
      </c>
      <c r="K38">
        <v>1.5</v>
      </c>
    </row>
    <row r="49" ht="12.75">
      <c r="M49" s="18" t="s">
        <v>76</v>
      </c>
    </row>
    <row r="50" ht="12.75">
      <c r="H50" t="s">
        <v>62</v>
      </c>
    </row>
    <row r="51" spans="8:11" ht="12.75">
      <c r="H51">
        <v>-2.5</v>
      </c>
      <c r="I51">
        <v>2.5</v>
      </c>
      <c r="J51">
        <f>K31</f>
        <v>0.9299971835720733</v>
      </c>
      <c r="K51">
        <f>K32</f>
        <v>1.3083925723033518</v>
      </c>
    </row>
    <row r="52" spans="8:11" ht="12.75">
      <c r="H52">
        <v>1</v>
      </c>
      <c r="I52">
        <v>1</v>
      </c>
      <c r="J52">
        <v>1.5</v>
      </c>
      <c r="K52">
        <v>1.5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&amp;C&amp;A</oddHeader>
    <oddFooter>&amp;CSeite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B9">
      <selection activeCell="E54" sqref="E54"/>
    </sheetView>
  </sheetViews>
  <sheetFormatPr defaultColWidth="11.421875" defaultRowHeight="12.75"/>
  <cols>
    <col min="1" max="1" width="15.00390625" style="29" customWidth="1"/>
    <col min="2" max="2" width="14.00390625" style="29" customWidth="1"/>
    <col min="3" max="3" width="12.421875" style="29" bestFit="1" customWidth="1"/>
    <col min="4" max="4" width="11.421875" style="29" customWidth="1"/>
    <col min="5" max="5" width="14.421875" style="29" customWidth="1"/>
    <col min="6" max="9" width="11.421875" style="29" customWidth="1"/>
    <col min="10" max="10" width="13.28125" style="29" customWidth="1"/>
    <col min="11" max="12" width="11.421875" style="29" customWidth="1"/>
    <col min="13" max="13" width="14.140625" style="29" customWidth="1"/>
    <col min="14" max="14" width="11.421875" style="29" customWidth="1"/>
    <col min="15" max="15" width="12.421875" style="29" bestFit="1" customWidth="1"/>
    <col min="16" max="16384" width="11.421875" style="29" customWidth="1"/>
  </cols>
  <sheetData>
    <row r="1" ht="12.75">
      <c r="A1" s="28" t="s">
        <v>57</v>
      </c>
    </row>
    <row r="2" ht="12.75">
      <c r="A2" s="28" t="s">
        <v>68</v>
      </c>
    </row>
    <row r="4" spans="1:9" ht="12.75">
      <c r="A4" s="29" t="s">
        <v>43</v>
      </c>
      <c r="B4" s="29" t="s">
        <v>19</v>
      </c>
      <c r="D4" s="29" t="s">
        <v>20</v>
      </c>
      <c r="G4" s="29" t="s">
        <v>21</v>
      </c>
      <c r="I4" s="29" t="s">
        <v>22</v>
      </c>
    </row>
    <row r="5" spans="1:9" ht="12.75">
      <c r="A5" s="29" t="s">
        <v>44</v>
      </c>
      <c r="B5" s="30">
        <v>41163</v>
      </c>
      <c r="C5" s="30"/>
      <c r="D5" s="30">
        <v>41163</v>
      </c>
      <c r="E5" s="30"/>
      <c r="F5" s="30"/>
      <c r="G5" s="30">
        <v>41165</v>
      </c>
      <c r="H5" s="30"/>
      <c r="I5" s="30">
        <v>41165</v>
      </c>
    </row>
    <row r="6" spans="1:12" ht="12.75">
      <c r="A6" s="29" t="s">
        <v>45</v>
      </c>
      <c r="B6" s="29">
        <v>1</v>
      </c>
      <c r="D6" s="29">
        <v>1</v>
      </c>
      <c r="G6" s="29">
        <v>2</v>
      </c>
      <c r="I6" s="29">
        <v>2</v>
      </c>
      <c r="L6" s="31" t="s">
        <v>69</v>
      </c>
    </row>
    <row r="7" ht="12.75"/>
    <row r="8" ht="12.75"/>
    <row r="9" ht="12.75">
      <c r="A9" s="29" t="s">
        <v>46</v>
      </c>
    </row>
    <row r="10" spans="3:10" ht="12.75">
      <c r="C10" s="32" t="s">
        <v>24</v>
      </c>
      <c r="E10" s="32" t="s">
        <v>24</v>
      </c>
      <c r="H10" s="32" t="s">
        <v>24</v>
      </c>
      <c r="J10" s="32" t="s">
        <v>24</v>
      </c>
    </row>
    <row r="11" spans="1:10" ht="12.75">
      <c r="A11" s="29">
        <v>1</v>
      </c>
      <c r="B11" s="29">
        <v>98.37</v>
      </c>
      <c r="C11" s="33">
        <f>LN(B11)</f>
        <v>4.588735879524666</v>
      </c>
      <c r="D11" s="29">
        <v>97.94</v>
      </c>
      <c r="E11" s="33">
        <f>LN(D11)</f>
        <v>4.584355046274172</v>
      </c>
      <c r="G11" s="29">
        <v>97.84</v>
      </c>
      <c r="H11" s="33">
        <f aca="true" t="shared" si="0" ref="H11:H16">LN(G11)</f>
        <v>4.583333491378917</v>
      </c>
      <c r="I11" s="29">
        <v>96.73</v>
      </c>
      <c r="J11" s="33">
        <f aca="true" t="shared" si="1" ref="J11:J16">LN(I11)</f>
        <v>4.571923592194456</v>
      </c>
    </row>
    <row r="12" spans="1:10" ht="12.75">
      <c r="A12" s="29">
        <v>2</v>
      </c>
      <c r="B12" s="29">
        <v>98.11</v>
      </c>
      <c r="C12" s="33">
        <f aca="true" t="shared" si="2" ref="C12:E16">LN(B12)</f>
        <v>4.5860892981753</v>
      </c>
      <c r="D12" s="29">
        <v>98.42</v>
      </c>
      <c r="E12" s="33">
        <f t="shared" si="2"/>
        <v>4.589244035437832</v>
      </c>
      <c r="G12" s="29">
        <v>97.74</v>
      </c>
      <c r="H12" s="33">
        <f t="shared" si="0"/>
        <v>4.582310891842009</v>
      </c>
      <c r="I12" s="29">
        <v>96.5</v>
      </c>
      <c r="J12" s="33">
        <f t="shared" si="1"/>
        <v>4.56954300834494</v>
      </c>
    </row>
    <row r="13" spans="1:10" ht="12.75">
      <c r="A13" s="29">
        <v>3</v>
      </c>
      <c r="B13" s="29">
        <v>98.18</v>
      </c>
      <c r="C13" s="33">
        <f t="shared" si="2"/>
        <v>4.586802528629907</v>
      </c>
      <c r="D13" s="29">
        <v>98.11</v>
      </c>
      <c r="E13" s="33">
        <f t="shared" si="2"/>
        <v>4.5860892981753</v>
      </c>
      <c r="G13" s="29">
        <v>96.51</v>
      </c>
      <c r="H13" s="33">
        <f t="shared" si="0"/>
        <v>4.569646629919045</v>
      </c>
      <c r="I13" s="29">
        <v>96.79</v>
      </c>
      <c r="J13" s="33">
        <f t="shared" si="1"/>
        <v>4.572543683160998</v>
      </c>
    </row>
    <row r="14" spans="1:10" ht="12.75">
      <c r="A14" s="29">
        <v>4</v>
      </c>
      <c r="B14" s="29">
        <v>98.3</v>
      </c>
      <c r="C14" s="33">
        <f t="shared" si="2"/>
        <v>4.5880240271531205</v>
      </c>
      <c r="D14" s="29">
        <v>98.06</v>
      </c>
      <c r="E14" s="33">
        <f t="shared" si="2"/>
        <v>4.585579536223087</v>
      </c>
      <c r="G14" s="29">
        <v>97.3</v>
      </c>
      <c r="H14" s="33">
        <f t="shared" si="0"/>
        <v>4.577798989191959</v>
      </c>
      <c r="I14" s="29">
        <v>96.97</v>
      </c>
      <c r="J14" s="33">
        <f t="shared" si="1"/>
        <v>4.574401652316455</v>
      </c>
    </row>
    <row r="15" spans="1:10" ht="12.75">
      <c r="A15" s="29">
        <v>5</v>
      </c>
      <c r="B15" s="29">
        <v>98.24</v>
      </c>
      <c r="C15" s="33">
        <f t="shared" si="2"/>
        <v>4.587413464398832</v>
      </c>
      <c r="D15" s="29">
        <v>97.79</v>
      </c>
      <c r="E15" s="33">
        <f t="shared" si="2"/>
        <v>4.5828223223241835</v>
      </c>
      <c r="G15" s="29">
        <v>97.2</v>
      </c>
      <c r="H15" s="33">
        <f t="shared" si="0"/>
        <v>4.576770711466393</v>
      </c>
      <c r="I15" s="29">
        <v>96.65</v>
      </c>
      <c r="J15" s="33">
        <f t="shared" si="1"/>
        <v>4.57109620565434</v>
      </c>
    </row>
    <row r="16" spans="1:11" ht="12.75">
      <c r="A16" s="29">
        <v>6</v>
      </c>
      <c r="B16" s="29">
        <v>98.02</v>
      </c>
      <c r="C16" s="33">
        <f t="shared" si="2"/>
        <v>4.585171539481402</v>
      </c>
      <c r="D16" s="29">
        <v>96.64</v>
      </c>
      <c r="E16" s="33">
        <f t="shared" si="2"/>
        <v>4.570992734186505</v>
      </c>
      <c r="G16" s="29">
        <v>95.79</v>
      </c>
      <c r="H16" s="33">
        <f t="shared" si="0"/>
        <v>4.5621582953948</v>
      </c>
      <c r="I16" s="29">
        <v>97.15</v>
      </c>
      <c r="J16" s="33">
        <f t="shared" si="1"/>
        <v>4.576256175823449</v>
      </c>
      <c r="K16" s="34"/>
    </row>
    <row r="17" spans="3:10" ht="12.75">
      <c r="C17" s="32"/>
      <c r="E17" s="32"/>
      <c r="H17" s="32"/>
      <c r="J17" s="32"/>
    </row>
    <row r="18" spans="1:10" ht="12.75">
      <c r="A18" s="29" t="s">
        <v>18</v>
      </c>
      <c r="B18" s="34">
        <f>AVERAGE(B11:B16)</f>
        <v>98.20333333333333</v>
      </c>
      <c r="C18" s="35">
        <f>AVERAGE(C11:C16)</f>
        <v>4.587039456227204</v>
      </c>
      <c r="D18" s="34">
        <f>AVERAGE(D11:D16)</f>
        <v>97.82666666666667</v>
      </c>
      <c r="E18" s="35">
        <f>AVERAGE(E11:E16)</f>
        <v>4.583180495436847</v>
      </c>
      <c r="G18" s="34">
        <f>AVERAGE(G11:G16)</f>
        <v>97.06333333333333</v>
      </c>
      <c r="H18" s="35">
        <f>AVERAGE(H11:H16)</f>
        <v>4.575336501532187</v>
      </c>
      <c r="I18" s="34">
        <f>AVERAGE(I11:I16)</f>
        <v>96.79833333333333</v>
      </c>
      <c r="J18" s="35">
        <f>AVERAGE(J11:J16)</f>
        <v>4.572627386249106</v>
      </c>
    </row>
    <row r="19" spans="1:10" ht="12.75">
      <c r="A19" s="28" t="s">
        <v>23</v>
      </c>
      <c r="B19" s="34">
        <f>_xlfn.STDEV.S(B11:B16)</f>
        <v>0.12754084313139472</v>
      </c>
      <c r="C19" s="36">
        <f>_xlfn.STDEV.S(C11:C16)</f>
        <v>0.001298858114189955</v>
      </c>
      <c r="D19" s="34">
        <f>_xlfn.STDEV.S(D11:D16)</f>
        <v>0.6179212463305228</v>
      </c>
      <c r="E19" s="36">
        <f>_xlfn.STDEV.S(E11:E16)</f>
        <v>0.006340858449015528</v>
      </c>
      <c r="G19" s="34">
        <f>_xlfn.STDEV.S(G11:G16)</f>
        <v>0.7827302643099102</v>
      </c>
      <c r="H19" s="36">
        <f>_xlfn.STDEV.S(H11:H16)</f>
        <v>0.008083990677701698</v>
      </c>
      <c r="I19" s="34">
        <f>_xlfn.STDEV.S(I11:I16)</f>
        <v>0.2318979660684132</v>
      </c>
      <c r="J19" s="36">
        <f>_xlfn.STDEV.S(J11:J16)</f>
        <v>0.002394843092998849</v>
      </c>
    </row>
    <row r="20" spans="1:10" ht="12.75">
      <c r="A20" s="29" t="s">
        <v>47</v>
      </c>
      <c r="B20" s="29">
        <f>VAR(B11:B16)</f>
        <v>0.016266666666667033</v>
      </c>
      <c r="C20" s="37">
        <f>VAR(C11:C16)</f>
        <v>1.6870324007970863E-06</v>
      </c>
      <c r="D20" s="29">
        <f>VAR(D11:D16)</f>
        <v>0.3818266666666667</v>
      </c>
      <c r="E20" s="37">
        <f>VAR(E11:E16)</f>
        <v>4.0206485870451614E-05</v>
      </c>
      <c r="G20" s="29">
        <f>VAR(G11:G16)</f>
        <v>0.6126666666666619</v>
      </c>
      <c r="H20" s="37">
        <f>VAR(H11:H16)</f>
        <v>6.535090527716797E-05</v>
      </c>
      <c r="I20" s="29">
        <f>VAR(I11:I16)</f>
        <v>0.05377666666666692</v>
      </c>
      <c r="J20" s="37">
        <f>VAR(J11:J16)</f>
        <v>5.735273440084293E-06</v>
      </c>
    </row>
    <row r="21" spans="1:10" ht="12.75">
      <c r="A21" s="29" t="s">
        <v>17</v>
      </c>
      <c r="B21" s="38">
        <f>SQRT(B20)/B18</f>
        <v>0.0012987425049868781</v>
      </c>
      <c r="C21" s="39">
        <f>SQRT(C20)/C18</f>
        <v>0.0002831582607005202</v>
      </c>
      <c r="D21" s="38">
        <f>SQRT(D20)/D18</f>
        <v>0.006316490864766146</v>
      </c>
      <c r="E21" s="39">
        <f>SQRT(E20)/E18</f>
        <v>0.0013835061602589466</v>
      </c>
      <c r="G21" s="38">
        <f>SQRT(G20)/G18</f>
        <v>0.00806411893584852</v>
      </c>
      <c r="H21" s="39">
        <f>SQRT(H20)/H18</f>
        <v>0.001766862541147418</v>
      </c>
      <c r="I21" s="38">
        <f>SQRT(I20)/I18</f>
        <v>0.0023956813932927206</v>
      </c>
      <c r="J21" s="39">
        <f>SQRT(J20)/J18</f>
        <v>0.000523734582048095</v>
      </c>
    </row>
    <row r="23" spans="1:11" ht="12.75">
      <c r="A23" s="29" t="s">
        <v>77</v>
      </c>
      <c r="I23" s="63" t="s">
        <v>78</v>
      </c>
      <c r="J23" s="32"/>
      <c r="K23" s="32"/>
    </row>
    <row r="24" spans="1:14" ht="12.75">
      <c r="A24" s="28" t="s">
        <v>85</v>
      </c>
      <c r="C24" s="40">
        <f>SQRT(B19^2/(4*6)+D19^2/(4*6)+G19^2/(4*6)+I19^2/(4*6))</f>
        <v>0.21060791638598078</v>
      </c>
      <c r="E24" s="28" t="s">
        <v>86</v>
      </c>
      <c r="F24" s="34">
        <f>(B18+D18)/2-(G18+I18)/2</f>
        <v>1.0841666666666612</v>
      </c>
      <c r="I24" s="41" t="s">
        <v>85</v>
      </c>
      <c r="K24" s="32">
        <f>SQRT(C20/(4*6)+E20/(4*6)+H20/(4*6)+J20/(4*6))</f>
        <v>0.002169674485843642</v>
      </c>
      <c r="M24" s="28" t="s">
        <v>86</v>
      </c>
      <c r="N24" s="35">
        <f>(C18+E18)/2-(H18+J18)/2</f>
        <v>0.01112803194137868</v>
      </c>
    </row>
    <row r="25" spans="1:15" ht="12.75">
      <c r="A25" s="28" t="s">
        <v>83</v>
      </c>
      <c r="C25" s="29">
        <f>E25/G25</f>
        <v>10.80697849768917</v>
      </c>
      <c r="D25" s="31" t="s">
        <v>70</v>
      </c>
      <c r="E25" s="31">
        <f>(B19^2/(4*6)+D19^2/(4*6)+G19^2/(4*6)+I19^2/(4*6))^2</f>
        <v>0.0019674276296489045</v>
      </c>
      <c r="F25" s="42" t="s">
        <v>71</v>
      </c>
      <c r="G25" s="29">
        <f>B19^4/(16*6^2*5)+D19^4/(16*6^2*5)+G19^4/(16*6^2*5)+I19^4/(16*6^2*5)</f>
        <v>0.00018205159102237454</v>
      </c>
      <c r="I25" s="41" t="s">
        <v>87</v>
      </c>
      <c r="K25" s="32">
        <f>M25/O25</f>
        <v>10.77521688613655</v>
      </c>
      <c r="L25" s="31" t="s">
        <v>70</v>
      </c>
      <c r="M25" s="43">
        <f>(C19^2/(4*6)+E19^2/(4*6)+H19^2/(4*6)+J19^2/(4*6))^2</f>
        <v>2.2160437381273414E-11</v>
      </c>
      <c r="N25" s="42" t="s">
        <v>71</v>
      </c>
      <c r="O25" s="32">
        <f>C19^4/(16*6^2*5)+E19^4/(16*6^2*5)+H19^4/(16*6^2*5)+J19^4/(16*6^2*5)</f>
        <v>2.056611724427111E-12</v>
      </c>
    </row>
    <row r="26" spans="1:11" ht="12.75">
      <c r="A26" s="28" t="s">
        <v>25</v>
      </c>
      <c r="C26" s="29">
        <f>TINV(0.1,C25)</f>
        <v>1.812461122811676</v>
      </c>
      <c r="I26" s="41" t="s">
        <v>25</v>
      </c>
      <c r="K26" s="32">
        <f>TINV(0.1,K25)</f>
        <v>1.812461122811676</v>
      </c>
    </row>
    <row r="27" ht="12.75">
      <c r="I27" s="44"/>
    </row>
    <row r="28" spans="1:11" ht="12.75">
      <c r="A28" s="28" t="s">
        <v>26</v>
      </c>
      <c r="C28" s="29">
        <f>F24-C26*C24</f>
        <v>0.7024480060606988</v>
      </c>
      <c r="I28" s="45" t="s">
        <v>28</v>
      </c>
      <c r="K28" s="32">
        <f>N24-K26*K24</f>
        <v>0.007195581286630667</v>
      </c>
    </row>
    <row r="29" spans="1:11" ht="12.75">
      <c r="A29" s="28" t="s">
        <v>27</v>
      </c>
      <c r="C29" s="29">
        <f>F24+C26*C24</f>
        <v>1.4658853272726236</v>
      </c>
      <c r="I29" s="45" t="s">
        <v>29</v>
      </c>
      <c r="K29" s="32">
        <f>N24+K26*K24</f>
        <v>0.015060482596126693</v>
      </c>
    </row>
    <row r="30" ht="12.75">
      <c r="I30" s="44"/>
    </row>
    <row r="31" spans="9:20" ht="12.75">
      <c r="I31" s="41" t="s">
        <v>26</v>
      </c>
      <c r="K31" s="32">
        <f>100*(EXP(K28)-1)</f>
        <v>0.7221531687054972</v>
      </c>
      <c r="T31" s="28"/>
    </row>
    <row r="32" spans="1:13" ht="12.75">
      <c r="A32" s="31"/>
      <c r="I32" s="41" t="s">
        <v>27</v>
      </c>
      <c r="K32" s="32">
        <f>100*(EXP(K29)-1)</f>
        <v>1.5174463145981587</v>
      </c>
      <c r="M32" s="46" t="s">
        <v>75</v>
      </c>
    </row>
    <row r="33" ht="12.75">
      <c r="T33" s="28"/>
    </row>
    <row r="34" ht="12.75">
      <c r="T34" s="28"/>
    </row>
    <row r="36" spans="3:20" ht="12.75">
      <c r="C36" s="29" t="s">
        <v>59</v>
      </c>
      <c r="H36" s="29" t="s">
        <v>62</v>
      </c>
      <c r="T36" s="28"/>
    </row>
    <row r="37" spans="3:20" ht="12.75">
      <c r="C37" s="29">
        <v>2.5</v>
      </c>
      <c r="G37" s="29" t="s">
        <v>60</v>
      </c>
      <c r="H37" s="29">
        <f>-C37</f>
        <v>-2.5</v>
      </c>
      <c r="I37" s="29">
        <f>C37</f>
        <v>2.5</v>
      </c>
      <c r="J37" s="29">
        <f>C28</f>
        <v>0.7024480060606988</v>
      </c>
      <c r="K37" s="29">
        <f>C29</f>
        <v>1.4658853272726236</v>
      </c>
      <c r="T37" s="28"/>
    </row>
    <row r="38" spans="7:11" ht="12.75">
      <c r="G38" s="29" t="s">
        <v>61</v>
      </c>
      <c r="H38" s="29">
        <v>1</v>
      </c>
      <c r="I38" s="29">
        <v>1</v>
      </c>
      <c r="J38" s="29">
        <v>1.5</v>
      </c>
      <c r="K38" s="29">
        <v>1.5</v>
      </c>
    </row>
    <row r="49" ht="12.75">
      <c r="M49" s="46" t="s">
        <v>76</v>
      </c>
    </row>
    <row r="50" ht="12.75">
      <c r="H50" s="29" t="s">
        <v>62</v>
      </c>
    </row>
    <row r="51" spans="8:11" ht="12.75">
      <c r="H51" s="29">
        <v>-2.5</v>
      </c>
      <c r="I51" s="29">
        <v>2.5</v>
      </c>
      <c r="J51" s="32">
        <f>K31</f>
        <v>0.7221531687054972</v>
      </c>
      <c r="K51" s="32">
        <f>K32</f>
        <v>1.5174463145981587</v>
      </c>
    </row>
    <row r="52" spans="8:11" ht="12.75">
      <c r="H52" s="29">
        <v>1</v>
      </c>
      <c r="I52" s="29">
        <v>1</v>
      </c>
      <c r="J52" s="29">
        <v>1.5</v>
      </c>
      <c r="K52" s="29">
        <v>1.5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&amp;C&amp;A</oddHeader>
    <oddFooter>&amp;CSeite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11.421875" style="0" customWidth="1"/>
    <col min="2" max="2" width="13.28125" style="0" customWidth="1"/>
    <col min="3" max="3" width="12.28125" style="0" customWidth="1"/>
    <col min="4" max="4" width="12.00390625" style="0" bestFit="1" customWidth="1"/>
    <col min="5" max="5" width="11.8515625" style="0" customWidth="1"/>
    <col min="6" max="6" width="13.8515625" style="0" bestFit="1" customWidth="1"/>
    <col min="7" max="7" width="13.8515625" style="0" customWidth="1"/>
    <col min="8" max="8" width="12.00390625" style="0" bestFit="1" customWidth="1"/>
  </cols>
  <sheetData>
    <row r="1" ht="12.75">
      <c r="A1" s="17" t="s">
        <v>55</v>
      </c>
    </row>
    <row r="3" spans="1:8" ht="12.75">
      <c r="A3" t="s">
        <v>44</v>
      </c>
      <c r="B3" s="2">
        <v>41163</v>
      </c>
      <c r="C3" s="2"/>
      <c r="D3" s="2">
        <v>41163</v>
      </c>
      <c r="E3" s="2"/>
      <c r="F3" s="2"/>
      <c r="G3" s="2"/>
      <c r="H3" s="2"/>
    </row>
    <row r="4" spans="1:4" ht="12.75">
      <c r="A4" t="s">
        <v>45</v>
      </c>
      <c r="B4">
        <v>1</v>
      </c>
      <c r="D4">
        <v>2</v>
      </c>
    </row>
    <row r="7" ht="12.75">
      <c r="A7" t="s">
        <v>46</v>
      </c>
    </row>
    <row r="8" spans="3:8" ht="12.75">
      <c r="C8" s="4" t="s">
        <v>24</v>
      </c>
      <c r="E8" s="4" t="s">
        <v>24</v>
      </c>
      <c r="G8" s="17" t="s">
        <v>56</v>
      </c>
      <c r="H8" s="11" t="s">
        <v>79</v>
      </c>
    </row>
    <row r="9" spans="1:8" ht="12.75">
      <c r="A9" s="11" t="s">
        <v>30</v>
      </c>
      <c r="B9">
        <v>98.37</v>
      </c>
      <c r="C9" s="5">
        <f aca="true" t="shared" si="0" ref="C9:C20">LN(B9)</f>
        <v>4.588735879524666</v>
      </c>
      <c r="D9">
        <v>97.84</v>
      </c>
      <c r="E9" s="5">
        <f>LN(D9)</f>
        <v>4.583333491378917</v>
      </c>
      <c r="G9" s="53">
        <f>B9-D9</f>
        <v>0.5300000000000011</v>
      </c>
      <c r="H9" s="47">
        <f>C9-E9</f>
        <v>0.005402388145749448</v>
      </c>
    </row>
    <row r="10" spans="1:8" ht="12.75">
      <c r="A10" s="11" t="s">
        <v>31</v>
      </c>
      <c r="B10">
        <v>98.11</v>
      </c>
      <c r="C10" s="5">
        <f t="shared" si="0"/>
        <v>4.5860892981753</v>
      </c>
      <c r="D10">
        <v>97.74</v>
      </c>
      <c r="E10" s="5">
        <f aca="true" t="shared" si="1" ref="E10:E20">LN(D10)</f>
        <v>4.582310891842009</v>
      </c>
      <c r="G10" s="53">
        <f aca="true" t="shared" si="2" ref="G10:H20">B10-D10</f>
        <v>0.37000000000000455</v>
      </c>
      <c r="H10" s="47">
        <f t="shared" si="2"/>
        <v>0.0037784063332910733</v>
      </c>
    </row>
    <row r="11" spans="1:8" ht="12.75">
      <c r="A11" s="11" t="s">
        <v>32</v>
      </c>
      <c r="B11">
        <v>98.18</v>
      </c>
      <c r="C11" s="5">
        <f t="shared" si="0"/>
        <v>4.586802528629907</v>
      </c>
      <c r="D11">
        <v>96.51</v>
      </c>
      <c r="E11" s="5">
        <f t="shared" si="1"/>
        <v>4.569646629919045</v>
      </c>
      <c r="G11" s="53">
        <f t="shared" si="2"/>
        <v>1.6700000000000017</v>
      </c>
      <c r="H11" s="47">
        <f t="shared" si="2"/>
        <v>0.017155898710861983</v>
      </c>
    </row>
    <row r="12" spans="1:8" ht="12.75">
      <c r="A12" s="11" t="s">
        <v>33</v>
      </c>
      <c r="B12">
        <v>98.3</v>
      </c>
      <c r="C12" s="5">
        <f t="shared" si="0"/>
        <v>4.5880240271531205</v>
      </c>
      <c r="D12">
        <v>97.3</v>
      </c>
      <c r="E12" s="5">
        <f t="shared" si="1"/>
        <v>4.577798989191959</v>
      </c>
      <c r="G12" s="53">
        <f t="shared" si="2"/>
        <v>1</v>
      </c>
      <c r="H12" s="47">
        <f t="shared" si="2"/>
        <v>0.010225037961161476</v>
      </c>
    </row>
    <row r="13" spans="1:8" ht="12.75">
      <c r="A13" s="11" t="s">
        <v>34</v>
      </c>
      <c r="B13">
        <v>98.24</v>
      </c>
      <c r="C13" s="5">
        <f t="shared" si="0"/>
        <v>4.587413464398832</v>
      </c>
      <c r="D13">
        <v>97.2</v>
      </c>
      <c r="E13" s="5">
        <f t="shared" si="1"/>
        <v>4.576770711466393</v>
      </c>
      <c r="G13" s="53">
        <f t="shared" si="2"/>
        <v>1.039999999999992</v>
      </c>
      <c r="H13" s="47">
        <f t="shared" si="2"/>
        <v>0.010642752932438881</v>
      </c>
    </row>
    <row r="14" spans="1:9" ht="12.75">
      <c r="A14" s="11" t="s">
        <v>35</v>
      </c>
      <c r="B14">
        <v>98.02</v>
      </c>
      <c r="C14" s="5">
        <f t="shared" si="0"/>
        <v>4.585171539481402</v>
      </c>
      <c r="D14">
        <v>95.79</v>
      </c>
      <c r="E14" s="5">
        <f t="shared" si="1"/>
        <v>4.5621582953948</v>
      </c>
      <c r="G14" s="53">
        <f t="shared" si="2"/>
        <v>2.2299999999999898</v>
      </c>
      <c r="H14" s="47">
        <f t="shared" si="2"/>
        <v>0.023013244086601325</v>
      </c>
      <c r="I14" s="3"/>
    </row>
    <row r="15" spans="1:9" ht="12.75">
      <c r="A15" s="11" t="s">
        <v>36</v>
      </c>
      <c r="B15">
        <v>97.94</v>
      </c>
      <c r="C15" s="5">
        <f t="shared" si="0"/>
        <v>4.584355046274172</v>
      </c>
      <c r="D15">
        <v>96.73</v>
      </c>
      <c r="E15" s="5">
        <f t="shared" si="1"/>
        <v>4.571923592194456</v>
      </c>
      <c r="G15" s="53">
        <f t="shared" si="2"/>
        <v>1.2099999999999937</v>
      </c>
      <c r="H15" s="47">
        <f t="shared" si="2"/>
        <v>0.012431454079715465</v>
      </c>
      <c r="I15" s="3"/>
    </row>
    <row r="16" spans="1:9" ht="12.75">
      <c r="A16" s="11" t="s">
        <v>37</v>
      </c>
      <c r="B16">
        <v>98.42</v>
      </c>
      <c r="C16" s="5">
        <f t="shared" si="0"/>
        <v>4.589244035437832</v>
      </c>
      <c r="D16">
        <v>96.5</v>
      </c>
      <c r="E16" s="5">
        <f t="shared" si="1"/>
        <v>4.56954300834494</v>
      </c>
      <c r="G16" s="53">
        <f t="shared" si="2"/>
        <v>1.9200000000000017</v>
      </c>
      <c r="H16" s="47">
        <f t="shared" si="2"/>
        <v>0.0197010270928919</v>
      </c>
      <c r="I16" s="3"/>
    </row>
    <row r="17" spans="1:9" ht="12.75">
      <c r="A17" s="11" t="s">
        <v>38</v>
      </c>
      <c r="B17">
        <v>98.11</v>
      </c>
      <c r="C17" s="5">
        <f t="shared" si="0"/>
        <v>4.5860892981753</v>
      </c>
      <c r="D17">
        <v>96.79</v>
      </c>
      <c r="E17" s="5">
        <f t="shared" si="1"/>
        <v>4.572543683160998</v>
      </c>
      <c r="G17" s="53">
        <f t="shared" si="2"/>
        <v>1.3199999999999932</v>
      </c>
      <c r="H17" s="47">
        <f t="shared" si="2"/>
        <v>0.013545615014302292</v>
      </c>
      <c r="I17" s="3"/>
    </row>
    <row r="18" spans="1:9" ht="12.75">
      <c r="A18" s="11" t="s">
        <v>39</v>
      </c>
      <c r="B18">
        <v>98.06</v>
      </c>
      <c r="C18" s="5">
        <f t="shared" si="0"/>
        <v>4.585579536223087</v>
      </c>
      <c r="D18">
        <v>96.97</v>
      </c>
      <c r="E18" s="5">
        <f t="shared" si="1"/>
        <v>4.574401652316455</v>
      </c>
      <c r="G18" s="53">
        <f t="shared" si="2"/>
        <v>1.0900000000000034</v>
      </c>
      <c r="H18" s="47">
        <f t="shared" si="2"/>
        <v>0.011177883906632324</v>
      </c>
      <c r="I18" s="3"/>
    </row>
    <row r="19" spans="1:9" ht="12.75">
      <c r="A19" s="11" t="s">
        <v>40</v>
      </c>
      <c r="B19">
        <v>97.79</v>
      </c>
      <c r="C19" s="5">
        <f t="shared" si="0"/>
        <v>4.5828223223241835</v>
      </c>
      <c r="D19">
        <v>96.65</v>
      </c>
      <c r="E19" s="5">
        <f t="shared" si="1"/>
        <v>4.57109620565434</v>
      </c>
      <c r="G19" s="53">
        <f t="shared" si="2"/>
        <v>1.1400000000000006</v>
      </c>
      <c r="H19" s="47">
        <f t="shared" si="2"/>
        <v>0.011726116669843911</v>
      </c>
      <c r="I19" s="3"/>
    </row>
    <row r="20" spans="1:8" ht="12.75">
      <c r="A20" s="11" t="s">
        <v>41</v>
      </c>
      <c r="B20">
        <v>96.64</v>
      </c>
      <c r="C20" s="5">
        <f t="shared" si="0"/>
        <v>4.570992734186505</v>
      </c>
      <c r="D20">
        <v>97.15</v>
      </c>
      <c r="E20" s="5">
        <f t="shared" si="1"/>
        <v>4.576256175823449</v>
      </c>
      <c r="G20" s="53">
        <f t="shared" si="2"/>
        <v>-0.5100000000000051</v>
      </c>
      <c r="H20" s="47">
        <f t="shared" si="2"/>
        <v>-0.005263441636944144</v>
      </c>
    </row>
    <row r="21" spans="1:5" ht="12.75">
      <c r="A21" s="11"/>
      <c r="C21" s="12"/>
      <c r="D21" s="12"/>
      <c r="E21" s="12"/>
    </row>
    <row r="22" spans="1:8" ht="12.75">
      <c r="A22" t="s">
        <v>18</v>
      </c>
      <c r="B22" s="3">
        <f>AVERAGE(B9:B20)</f>
        <v>98.015</v>
      </c>
      <c r="C22" s="6">
        <f>AVERAGE(C9:C20)</f>
        <v>4.585109975832025</v>
      </c>
      <c r="D22" s="3">
        <f>AVERAGE(D9:D20)</f>
        <v>96.93083333333334</v>
      </c>
      <c r="E22" s="6">
        <f>AVERAGE(E9:E20)</f>
        <v>4.573981943890647</v>
      </c>
      <c r="G22" s="19">
        <f>AVERAGE(G9:G20)</f>
        <v>1.0841666666666647</v>
      </c>
      <c r="H22" s="6">
        <f>AVERAGE(H9:H20)</f>
        <v>0.011128031941378827</v>
      </c>
    </row>
    <row r="23" spans="1:8" ht="12.75">
      <c r="A23" s="8" t="s">
        <v>23</v>
      </c>
      <c r="B23" s="3">
        <f>_xlfn.STDEV.S(B9:B20)</f>
        <v>0.46866347686314797</v>
      </c>
      <c r="C23" s="6">
        <f>_xlfn.STDEV.S(C9:C20)</f>
        <v>0.0048066462178643216</v>
      </c>
      <c r="D23" s="3">
        <f>_xlfn.STDEV.S(D9:D20)</f>
        <v>0.5675218591438205</v>
      </c>
      <c r="E23" s="6">
        <f>_xlfn.STDEV.S(E9:E20)</f>
        <v>0.005857775023127406</v>
      </c>
      <c r="G23" s="19">
        <f>_xlfn.STDEV.S(G9:G20)</f>
        <v>0.725940873291448</v>
      </c>
      <c r="H23" s="6">
        <f>_xlfn.STDEV.S(H9:H20)</f>
        <v>0.007480427749732691</v>
      </c>
    </row>
    <row r="24" spans="1:8" ht="12.75">
      <c r="A24" t="s">
        <v>47</v>
      </c>
      <c r="B24">
        <f>VAR(B9:B20)</f>
        <v>0.21964545454545445</v>
      </c>
      <c r="C24" s="10">
        <f>VAR(C9:C20)</f>
        <v>2.3103847863709385E-05</v>
      </c>
      <c r="D24">
        <f>VAR(D9:D20)</f>
        <v>0.32208106060605834</v>
      </c>
      <c r="E24" s="10">
        <f>VAR(E9:E20)</f>
        <v>3.431352822157529E-05</v>
      </c>
      <c r="G24" s="54">
        <f>VAR(G9:G20)</f>
        <v>0.5269901515151502</v>
      </c>
      <c r="H24" s="10">
        <f>VAR(H9:H20)</f>
        <v>5.59567993189709E-05</v>
      </c>
    </row>
    <row r="25" spans="1:8" ht="12.75">
      <c r="A25" t="s">
        <v>17</v>
      </c>
      <c r="B25" s="1">
        <f>SQRT(B24)/B22</f>
        <v>0.0047815485064852115</v>
      </c>
      <c r="C25" s="7">
        <f>SQRT(C24)/C22</f>
        <v>0.0010483164511211306</v>
      </c>
      <c r="D25" s="1">
        <f>SQRT(D24)/D22</f>
        <v>0.005854915712858693</v>
      </c>
      <c r="E25" s="7">
        <f>SQRT(E24)/E22</f>
        <v>0.0012806729661343525</v>
      </c>
      <c r="G25" s="55">
        <f>SQRT(G24)/G22</f>
        <v>0.6695842028821977</v>
      </c>
      <c r="H25" s="7">
        <f>SQRT(H24)/H22</f>
        <v>0.672214798550068</v>
      </c>
    </row>
    <row r="27" spans="1:8" ht="12.75">
      <c r="A27" s="17" t="s">
        <v>77</v>
      </c>
      <c r="F27" s="64" t="s">
        <v>80</v>
      </c>
      <c r="G27" s="4"/>
      <c r="H27" s="4"/>
    </row>
    <row r="28" spans="1:8" ht="12.75">
      <c r="A28" s="11" t="s">
        <v>42</v>
      </c>
      <c r="B28">
        <f>_xlfn.T.INV.2T(0.1,12-1)</f>
        <v>1.7958848187040437</v>
      </c>
      <c r="E28" s="8"/>
      <c r="F28" s="24" t="s">
        <v>42</v>
      </c>
      <c r="G28" s="11"/>
      <c r="H28">
        <f>_xlfn.T.INV.2T(0.1,12-1)</f>
        <v>1.7958848187040437</v>
      </c>
    </row>
    <row r="29" ht="12.75">
      <c r="F29" s="26"/>
    </row>
    <row r="30" spans="1:8" ht="12.75">
      <c r="A30" s="11" t="s">
        <v>26</v>
      </c>
      <c r="B30" s="12">
        <f>G22-B28*G23/SQRT(12)</f>
        <v>0.7078191057510697</v>
      </c>
      <c r="F30" s="24" t="s">
        <v>28</v>
      </c>
      <c r="G30" s="11"/>
      <c r="H30" s="48">
        <f>H22-H28*H23/SQRT(12)</f>
        <v>0.0072499740419072</v>
      </c>
    </row>
    <row r="31" spans="1:8" ht="12.75">
      <c r="A31" s="11" t="s">
        <v>27</v>
      </c>
      <c r="B31" s="12">
        <f>G22+B28*G23/SQRT(12)</f>
        <v>1.4605142275822598</v>
      </c>
      <c r="F31" s="24" t="s">
        <v>29</v>
      </c>
      <c r="G31" s="11"/>
      <c r="H31" s="48">
        <f>H22+H28*H23/SQRT(12)</f>
        <v>0.015006089840850455</v>
      </c>
    </row>
    <row r="32" ht="12.75">
      <c r="F32" s="26"/>
    </row>
    <row r="33" spans="1:8" ht="12.75">
      <c r="A33" s="60"/>
      <c r="B33" s="12"/>
      <c r="F33" s="24" t="s">
        <v>26</v>
      </c>
      <c r="G33" s="11"/>
      <c r="H33" s="48">
        <f>100*(EXP(H30)-1)</f>
        <v>0.727631873133272</v>
      </c>
    </row>
    <row r="34" spans="1:8" ht="12.75">
      <c r="A34" s="60"/>
      <c r="B34" s="12"/>
      <c r="F34" s="24" t="s">
        <v>27</v>
      </c>
      <c r="G34" s="11"/>
      <c r="H34" s="48">
        <f>100*(EXP(H31)-1)</f>
        <v>1.5119246511551054</v>
      </c>
    </row>
    <row r="35" ht="12.75">
      <c r="A35" s="8"/>
    </row>
    <row r="36" ht="12.75">
      <c r="A36" s="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F26" sqref="F26:H26"/>
    </sheetView>
  </sheetViews>
  <sheetFormatPr defaultColWidth="11.421875" defaultRowHeight="12.75"/>
  <cols>
    <col min="1" max="1" width="11.00390625" style="0" customWidth="1"/>
    <col min="2" max="2" width="12.00390625" style="0" customWidth="1"/>
    <col min="3" max="3" width="12.28125" style="0" customWidth="1"/>
    <col min="4" max="4" width="12.00390625" style="0" bestFit="1" customWidth="1"/>
    <col min="5" max="5" width="13.421875" style="0" customWidth="1"/>
    <col min="6" max="6" width="20.421875" style="0" customWidth="1"/>
    <col min="7" max="7" width="12.00390625" style="0" bestFit="1" customWidth="1"/>
  </cols>
  <sheetData>
    <row r="1" ht="12.75">
      <c r="A1" s="11" t="s">
        <v>57</v>
      </c>
    </row>
    <row r="3" spans="1:7" ht="12.75">
      <c r="A3" s="17" t="s">
        <v>72</v>
      </c>
      <c r="B3" s="2"/>
      <c r="C3" s="2"/>
      <c r="D3" s="52" t="s">
        <v>73</v>
      </c>
      <c r="E3" s="2"/>
      <c r="F3" s="2"/>
      <c r="G3" s="2"/>
    </row>
    <row r="5" ht="12.75">
      <c r="A5" t="s">
        <v>46</v>
      </c>
    </row>
    <row r="6" spans="3:7" ht="12.75">
      <c r="C6" s="4" t="s">
        <v>24</v>
      </c>
      <c r="E6" s="4" t="s">
        <v>24</v>
      </c>
      <c r="G6" s="11"/>
    </row>
    <row r="7" spans="1:7" ht="12.75">
      <c r="A7" s="11" t="s">
        <v>30</v>
      </c>
      <c r="B7">
        <v>98.37</v>
      </c>
      <c r="C7" s="5">
        <f aca="true" t="shared" si="0" ref="C7:C18">LN(B7)</f>
        <v>4.588735879524666</v>
      </c>
      <c r="D7">
        <v>97.84</v>
      </c>
      <c r="E7" s="5">
        <f>LN(D7)</f>
        <v>4.583333491378917</v>
      </c>
      <c r="G7" s="53"/>
    </row>
    <row r="8" spans="1:7" ht="12.75">
      <c r="A8" s="11" t="s">
        <v>31</v>
      </c>
      <c r="B8">
        <v>98.11</v>
      </c>
      <c r="C8" s="5">
        <f t="shared" si="0"/>
        <v>4.5860892981753</v>
      </c>
      <c r="D8">
        <v>97.74</v>
      </c>
      <c r="E8" s="5">
        <f aca="true" t="shared" si="1" ref="E8:E18">LN(D8)</f>
        <v>4.582310891842009</v>
      </c>
      <c r="G8" s="53"/>
    </row>
    <row r="9" spans="1:7" ht="12.75">
      <c r="A9" s="11" t="s">
        <v>32</v>
      </c>
      <c r="B9">
        <v>98.18</v>
      </c>
      <c r="C9" s="5">
        <f t="shared" si="0"/>
        <v>4.586802528629907</v>
      </c>
      <c r="D9">
        <v>96.51</v>
      </c>
      <c r="E9" s="5">
        <f t="shared" si="1"/>
        <v>4.569646629919045</v>
      </c>
      <c r="G9" s="53"/>
    </row>
    <row r="10" spans="1:7" ht="12.75">
      <c r="A10" s="11" t="s">
        <v>33</v>
      </c>
      <c r="B10">
        <v>98.3</v>
      </c>
      <c r="C10" s="5">
        <f t="shared" si="0"/>
        <v>4.5880240271531205</v>
      </c>
      <c r="D10">
        <v>97.3</v>
      </c>
      <c r="E10" s="5">
        <f t="shared" si="1"/>
        <v>4.577798989191959</v>
      </c>
      <c r="G10" s="53"/>
    </row>
    <row r="11" spans="1:7" ht="12.75">
      <c r="A11" s="11" t="s">
        <v>34</v>
      </c>
      <c r="B11">
        <v>98.24</v>
      </c>
      <c r="C11" s="5">
        <f t="shared" si="0"/>
        <v>4.587413464398832</v>
      </c>
      <c r="D11">
        <v>97.2</v>
      </c>
      <c r="E11" s="5">
        <f t="shared" si="1"/>
        <v>4.576770711466393</v>
      </c>
      <c r="G11" s="53"/>
    </row>
    <row r="12" spans="1:8" ht="12.75">
      <c r="A12" s="11" t="s">
        <v>35</v>
      </c>
      <c r="B12">
        <v>98.02</v>
      </c>
      <c r="C12" s="5">
        <f t="shared" si="0"/>
        <v>4.585171539481402</v>
      </c>
      <c r="D12">
        <v>95.79</v>
      </c>
      <c r="E12" s="5">
        <f t="shared" si="1"/>
        <v>4.5621582953948</v>
      </c>
      <c r="G12" s="53"/>
      <c r="H12" s="3"/>
    </row>
    <row r="13" spans="1:8" ht="12.75">
      <c r="A13" s="11" t="s">
        <v>36</v>
      </c>
      <c r="B13">
        <v>97.94</v>
      </c>
      <c r="C13" s="5">
        <f t="shared" si="0"/>
        <v>4.584355046274172</v>
      </c>
      <c r="D13">
        <v>96.73</v>
      </c>
      <c r="E13" s="5">
        <f t="shared" si="1"/>
        <v>4.571923592194456</v>
      </c>
      <c r="G13" s="53"/>
      <c r="H13" s="3"/>
    </row>
    <row r="14" spans="1:8" ht="12.75">
      <c r="A14" s="11" t="s">
        <v>37</v>
      </c>
      <c r="B14">
        <v>98.42</v>
      </c>
      <c r="C14" s="5">
        <f t="shared" si="0"/>
        <v>4.589244035437832</v>
      </c>
      <c r="D14">
        <v>96.5</v>
      </c>
      <c r="E14" s="5">
        <f t="shared" si="1"/>
        <v>4.56954300834494</v>
      </c>
      <c r="G14" s="53"/>
      <c r="H14" s="3"/>
    </row>
    <row r="15" spans="1:8" ht="12.75">
      <c r="A15" s="11" t="s">
        <v>38</v>
      </c>
      <c r="B15">
        <v>98.11</v>
      </c>
      <c r="C15" s="5">
        <f t="shared" si="0"/>
        <v>4.5860892981753</v>
      </c>
      <c r="D15">
        <v>96.79</v>
      </c>
      <c r="E15" s="5">
        <f t="shared" si="1"/>
        <v>4.572543683160998</v>
      </c>
      <c r="G15" s="53"/>
      <c r="H15" s="3"/>
    </row>
    <row r="16" spans="1:8" ht="12.75">
      <c r="A16" s="11" t="s">
        <v>39</v>
      </c>
      <c r="B16">
        <v>98.06</v>
      </c>
      <c r="C16" s="5">
        <f t="shared" si="0"/>
        <v>4.585579536223087</v>
      </c>
      <c r="D16">
        <v>96.97</v>
      </c>
      <c r="E16" s="5">
        <f t="shared" si="1"/>
        <v>4.574401652316455</v>
      </c>
      <c r="G16" s="53"/>
      <c r="H16" s="3"/>
    </row>
    <row r="17" spans="1:8" ht="12.75">
      <c r="A17" s="11" t="s">
        <v>40</v>
      </c>
      <c r="B17">
        <v>97.79</v>
      </c>
      <c r="C17" s="5">
        <f t="shared" si="0"/>
        <v>4.5828223223241835</v>
      </c>
      <c r="D17">
        <v>96.65</v>
      </c>
      <c r="E17" s="5">
        <f t="shared" si="1"/>
        <v>4.57109620565434</v>
      </c>
      <c r="G17" s="53"/>
      <c r="H17" s="3"/>
    </row>
    <row r="18" spans="1:7" ht="12.75">
      <c r="A18" s="11" t="s">
        <v>41</v>
      </c>
      <c r="B18">
        <v>96.64</v>
      </c>
      <c r="C18" s="5">
        <f t="shared" si="0"/>
        <v>4.570992734186505</v>
      </c>
      <c r="D18">
        <v>97.15</v>
      </c>
      <c r="E18" s="5">
        <f t="shared" si="1"/>
        <v>4.576256175823449</v>
      </c>
      <c r="G18" s="53"/>
    </row>
    <row r="19" spans="1:7" ht="12.75">
      <c r="A19" s="11"/>
      <c r="C19" s="12"/>
      <c r="D19" s="12"/>
      <c r="E19" s="12"/>
      <c r="G19" s="12"/>
    </row>
    <row r="20" spans="1:7" ht="12.75">
      <c r="A20" t="s">
        <v>18</v>
      </c>
      <c r="B20" s="3">
        <f>AVERAGE(B7:B18)</f>
        <v>98.015</v>
      </c>
      <c r="C20" s="6">
        <f>AVERAGE(C7:C18)</f>
        <v>4.585109975832025</v>
      </c>
      <c r="D20" s="3">
        <f>AVERAGE(D7:D18)</f>
        <v>96.93083333333334</v>
      </c>
      <c r="E20" s="6">
        <f>AVERAGE(E7:E18)</f>
        <v>4.573981943890647</v>
      </c>
      <c r="G20" s="19"/>
    </row>
    <row r="21" spans="1:7" ht="12.75">
      <c r="A21" s="8" t="s">
        <v>23</v>
      </c>
      <c r="B21" s="3">
        <f>_xlfn.STDEV.S(B7:B18)</f>
        <v>0.46866347686314797</v>
      </c>
      <c r="C21" s="6">
        <f>_xlfn.STDEV.S(C7:C18)</f>
        <v>0.0048066462178643216</v>
      </c>
      <c r="D21" s="3">
        <f>_xlfn.STDEV.S(D7:D18)</f>
        <v>0.5675218591438205</v>
      </c>
      <c r="E21" s="6">
        <f>_xlfn.STDEV.S(E7:E18)</f>
        <v>0.005857775023127406</v>
      </c>
      <c r="G21" s="19"/>
    </row>
    <row r="22" spans="1:7" ht="12.75">
      <c r="A22" t="s">
        <v>47</v>
      </c>
      <c r="B22">
        <f>VAR(B7:B18)</f>
        <v>0.21964545454545445</v>
      </c>
      <c r="C22" s="10">
        <f>VAR(C7:C18)</f>
        <v>2.3103847863709385E-05</v>
      </c>
      <c r="D22">
        <f>VAR(D7:D18)</f>
        <v>0.32208106060605834</v>
      </c>
      <c r="E22" s="10">
        <f>VAR(E7:E18)</f>
        <v>3.431352822157529E-05</v>
      </c>
      <c r="G22" s="54"/>
    </row>
    <row r="23" spans="1:7" ht="12.75">
      <c r="A23" t="s">
        <v>17</v>
      </c>
      <c r="B23" s="1">
        <f>SQRT(B22)/B20</f>
        <v>0.0047815485064852115</v>
      </c>
      <c r="C23" s="7">
        <f>SQRT(C22)/C20</f>
        <v>0.0010483164511211306</v>
      </c>
      <c r="D23" s="1">
        <f>SQRT(D22)/D20</f>
        <v>0.005854915712858693</v>
      </c>
      <c r="E23" s="7">
        <f>SQRT(E22)/E20</f>
        <v>0.0012806729661343525</v>
      </c>
      <c r="G23" s="55"/>
    </row>
    <row r="24" ht="12.75">
      <c r="G24" s="12"/>
    </row>
    <row r="25" ht="12.75">
      <c r="G25" s="12"/>
    </row>
    <row r="26" spans="1:8" ht="12.75">
      <c r="A26" s="17" t="s">
        <v>81</v>
      </c>
      <c r="F26" s="64" t="s">
        <v>92</v>
      </c>
      <c r="G26" s="4"/>
      <c r="H26" s="4"/>
    </row>
    <row r="27" spans="1:7" ht="12.75">
      <c r="A27" s="11" t="s">
        <v>56</v>
      </c>
      <c r="C27" s="19">
        <f>B20-D20</f>
        <v>1.0841666666666612</v>
      </c>
      <c r="F27" s="24" t="s">
        <v>56</v>
      </c>
      <c r="G27" s="6">
        <f>C20-E20</f>
        <v>0.011128031941377792</v>
      </c>
    </row>
    <row r="28" spans="1:7" ht="12.75">
      <c r="A28" s="17" t="s">
        <v>67</v>
      </c>
      <c r="C28" s="61">
        <f>SQRT((11*B22+11*D22)/(12+12-2))</f>
        <v>0.5204452493545852</v>
      </c>
      <c r="F28" s="65" t="s">
        <v>67</v>
      </c>
      <c r="G28" s="58">
        <f>SQRT((11*C22+11*E22)/(12+12-2))</f>
        <v>0.005358048902598999</v>
      </c>
    </row>
    <row r="29" spans="1:7" ht="12.75">
      <c r="A29" s="28" t="s">
        <v>82</v>
      </c>
      <c r="C29" s="62">
        <f>12+12-2</f>
        <v>22</v>
      </c>
      <c r="F29" s="41" t="s">
        <v>84</v>
      </c>
      <c r="G29" s="57">
        <f>12+12-2</f>
        <v>22</v>
      </c>
    </row>
    <row r="30" spans="1:13" ht="15">
      <c r="A30" s="28" t="s">
        <v>25</v>
      </c>
      <c r="C30" s="61">
        <f>TINV(0.1,12+12-2)</f>
        <v>1.7171443743802424</v>
      </c>
      <c r="F30" s="41" t="s">
        <v>25</v>
      </c>
      <c r="G30" s="56">
        <f>TINV(0.1,12+12-2)</f>
        <v>1.7171443743802424</v>
      </c>
      <c r="M30" s="66" t="s">
        <v>88</v>
      </c>
    </row>
    <row r="31" spans="3:7" ht="12.75">
      <c r="C31" s="61"/>
      <c r="F31" s="26"/>
      <c r="G31" s="56"/>
    </row>
    <row r="32" spans="1:7" ht="12.75">
      <c r="A32" s="17" t="s">
        <v>26</v>
      </c>
      <c r="C32" s="40">
        <f>C27-C30*C28*SQRT(2/12)</f>
        <v>0.719323484638585</v>
      </c>
      <c r="F32" s="65" t="s">
        <v>28</v>
      </c>
      <c r="G32" s="32">
        <f>G27-G30*G28*SQRT(2/12)</f>
        <v>0.007371925773609891</v>
      </c>
    </row>
    <row r="33" spans="1:7" ht="12.75">
      <c r="A33" s="17" t="s">
        <v>27</v>
      </c>
      <c r="C33" s="40">
        <f>C27+C30*C28*SQRT(2/12)</f>
        <v>1.4490098486947374</v>
      </c>
      <c r="F33" s="65" t="s">
        <v>29</v>
      </c>
      <c r="G33" s="32">
        <f>G27+G30*G28*SQRT(2/12)</f>
        <v>0.014884138109145692</v>
      </c>
    </row>
    <row r="34" spans="2:7" ht="12.75">
      <c r="B34" s="61"/>
      <c r="F34" s="26"/>
      <c r="G34" s="56"/>
    </row>
    <row r="35" spans="1:7" ht="12.75">
      <c r="A35" s="17"/>
      <c r="B35" s="12"/>
      <c r="F35" s="65" t="s">
        <v>89</v>
      </c>
      <c r="G35" s="4">
        <f>100*(EXP(G32)-1)</f>
        <v>0.7399165313229705</v>
      </c>
    </row>
    <row r="36" spans="1:7" ht="12.75">
      <c r="A36" s="17"/>
      <c r="B36" s="12"/>
      <c r="F36" s="65" t="s">
        <v>90</v>
      </c>
      <c r="G36" s="4">
        <f>100*(EXP(G33)-1)</f>
        <v>1.499545850978623</v>
      </c>
    </row>
    <row r="39" spans="1:6" ht="12.75">
      <c r="A39" s="29" t="s">
        <v>59</v>
      </c>
      <c r="D39" s="29"/>
      <c r="E39" s="29"/>
      <c r="F39" s="29"/>
    </row>
    <row r="40" spans="1:10" ht="12.75">
      <c r="A40" s="29">
        <v>2.5</v>
      </c>
      <c r="D40" s="29"/>
      <c r="E40" s="29"/>
      <c r="F40" s="29"/>
      <c r="J40" s="18" t="s">
        <v>75</v>
      </c>
    </row>
    <row r="41" spans="2:6" ht="12.75">
      <c r="B41" s="29"/>
      <c r="C41" s="29"/>
      <c r="D41" s="29"/>
      <c r="E41" s="29"/>
      <c r="F41" s="29"/>
    </row>
    <row r="42" spans="2:11" ht="12.75">
      <c r="B42" s="29"/>
      <c r="C42" s="29"/>
      <c r="D42" s="29"/>
      <c r="E42" s="29" t="s">
        <v>62</v>
      </c>
      <c r="F42" s="29"/>
      <c r="G42" s="29"/>
      <c r="H42" s="29"/>
      <c r="J42" s="29"/>
      <c r="K42" s="29"/>
    </row>
    <row r="43" spans="2:11" ht="12.75">
      <c r="B43" s="29"/>
      <c r="C43" s="29"/>
      <c r="D43" s="29" t="s">
        <v>60</v>
      </c>
      <c r="E43" s="29">
        <f>-A40</f>
        <v>-2.5</v>
      </c>
      <c r="F43" s="29">
        <f>A40</f>
        <v>2.5</v>
      </c>
      <c r="G43" s="29">
        <f>C32</f>
        <v>0.719323484638585</v>
      </c>
      <c r="H43" s="29">
        <f>C33</f>
        <v>1.4490098486947374</v>
      </c>
      <c r="J43" s="29"/>
      <c r="K43" s="29"/>
    </row>
    <row r="44" spans="3:11" ht="12.75">
      <c r="C44" s="29"/>
      <c r="D44" s="29" t="s">
        <v>61</v>
      </c>
      <c r="E44" s="29">
        <v>1</v>
      </c>
      <c r="F44" s="29">
        <v>1</v>
      </c>
      <c r="G44" s="29">
        <v>1.5</v>
      </c>
      <c r="H44" s="29">
        <v>1.5</v>
      </c>
      <c r="J44" s="29"/>
      <c r="K44" s="29"/>
    </row>
    <row r="45" spans="3:11" ht="12.75">
      <c r="C45" s="29"/>
      <c r="D45" s="29"/>
      <c r="E45" s="29"/>
      <c r="F45" s="29"/>
      <c r="G45" s="29"/>
      <c r="H45" s="29"/>
      <c r="I45" s="29"/>
      <c r="J45" s="29"/>
      <c r="K45" s="29"/>
    </row>
    <row r="46" spans="3:11" ht="12.75">
      <c r="C46" s="29"/>
      <c r="D46" s="29"/>
      <c r="E46" s="29"/>
      <c r="F46" s="29"/>
      <c r="G46" s="29"/>
      <c r="H46" s="29"/>
      <c r="I46" s="29"/>
      <c r="J46" s="29"/>
      <c r="K46" s="29"/>
    </row>
    <row r="47" spans="3:11" ht="12.75">
      <c r="C47" s="29"/>
      <c r="D47" s="29"/>
      <c r="E47" s="29"/>
      <c r="F47" s="29"/>
      <c r="G47" s="29"/>
      <c r="H47" s="29"/>
      <c r="I47" s="29"/>
      <c r="J47" s="29"/>
      <c r="K47" s="29"/>
    </row>
    <row r="48" spans="3:11" ht="12.75">
      <c r="C48" s="29"/>
      <c r="D48" s="29"/>
      <c r="E48" s="29"/>
      <c r="F48" s="29"/>
      <c r="G48" s="29"/>
      <c r="H48" s="29"/>
      <c r="I48" s="29"/>
      <c r="J48" s="29"/>
      <c r="K48" s="29"/>
    </row>
    <row r="49" spans="3:11" ht="12.75">
      <c r="C49" s="29"/>
      <c r="D49" s="29"/>
      <c r="E49" s="29"/>
      <c r="F49" s="29"/>
      <c r="G49" s="29"/>
      <c r="H49" s="29"/>
      <c r="I49" s="29"/>
      <c r="J49" s="29"/>
      <c r="K49" s="29"/>
    </row>
    <row r="50" spans="3:11" ht="12.75">
      <c r="C50" s="29"/>
      <c r="D50" s="29"/>
      <c r="E50" s="29"/>
      <c r="F50" s="29"/>
      <c r="G50" s="29"/>
      <c r="H50" s="29"/>
      <c r="I50" s="29"/>
      <c r="J50" s="29"/>
      <c r="K50" s="29"/>
    </row>
    <row r="51" spans="3:11" ht="12.75">
      <c r="C51" s="29"/>
      <c r="D51" s="29"/>
      <c r="E51" s="29"/>
      <c r="F51" s="29"/>
      <c r="G51" s="29"/>
      <c r="H51" s="29"/>
      <c r="I51" s="29"/>
      <c r="J51" s="29"/>
      <c r="K51" s="29"/>
    </row>
    <row r="52" spans="3:11" ht="12.75">
      <c r="C52" s="29"/>
      <c r="D52" s="29"/>
      <c r="E52" s="29"/>
      <c r="F52" s="29"/>
      <c r="G52" s="29"/>
      <c r="H52" s="29"/>
      <c r="I52" s="29"/>
      <c r="J52" s="29"/>
      <c r="K52" s="29"/>
    </row>
    <row r="53" spans="3:11" ht="12.75">
      <c r="C53" s="29"/>
      <c r="D53" s="29"/>
      <c r="E53" s="29"/>
      <c r="F53" s="29"/>
      <c r="G53" s="29"/>
      <c r="H53" s="40"/>
      <c r="I53" s="40"/>
      <c r="J53" s="40"/>
      <c r="K53" s="40"/>
    </row>
    <row r="54" spans="3:11" ht="12.75">
      <c r="C54" s="29"/>
      <c r="D54" s="29"/>
      <c r="E54" s="29"/>
      <c r="F54" s="29"/>
      <c r="G54" s="29"/>
      <c r="H54" s="40"/>
      <c r="I54" s="40"/>
      <c r="J54" s="40"/>
      <c r="K54" s="40"/>
    </row>
    <row r="55" spans="3:11" ht="12.75">
      <c r="C55" s="29"/>
      <c r="D55" s="29"/>
      <c r="E55" s="29"/>
      <c r="F55" s="29"/>
      <c r="G55" s="29"/>
      <c r="H55" s="40"/>
      <c r="I55" s="40"/>
      <c r="J55" s="40"/>
      <c r="K55" s="40"/>
    </row>
    <row r="57" spans="4:10" ht="12.75">
      <c r="D57" s="29"/>
      <c r="E57" s="29" t="s">
        <v>62</v>
      </c>
      <c r="F57" s="29"/>
      <c r="G57" s="29"/>
      <c r="H57" s="29"/>
      <c r="J57" s="18" t="s">
        <v>76</v>
      </c>
    </row>
    <row r="58" spans="4:8" ht="12.75">
      <c r="D58" s="29" t="s">
        <v>60</v>
      </c>
      <c r="E58" s="29">
        <f>-A40</f>
        <v>-2.5</v>
      </c>
      <c r="F58" s="29">
        <f>A40</f>
        <v>2.5</v>
      </c>
      <c r="G58" s="32">
        <f>G35</f>
        <v>0.7399165313229705</v>
      </c>
      <c r="H58" s="32">
        <f>G36</f>
        <v>1.499545850978623</v>
      </c>
    </row>
    <row r="59" spans="4:8" ht="12.75">
      <c r="D59" s="29" t="s">
        <v>61</v>
      </c>
      <c r="E59" s="29">
        <v>1</v>
      </c>
      <c r="F59" s="29">
        <v>1</v>
      </c>
      <c r="G59" s="29">
        <v>1.5</v>
      </c>
      <c r="H59" s="29">
        <v>1.5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B13">
      <selection activeCell="D43" sqref="D43"/>
    </sheetView>
  </sheetViews>
  <sheetFormatPr defaultColWidth="11.421875" defaultRowHeight="12.75"/>
  <cols>
    <col min="1" max="1" width="15.00390625" style="29" customWidth="1"/>
    <col min="2" max="2" width="14.00390625" style="29" customWidth="1"/>
    <col min="3" max="3" width="12.421875" style="29" bestFit="1" customWidth="1"/>
    <col min="4" max="4" width="11.421875" style="29" customWidth="1"/>
    <col min="5" max="5" width="14.421875" style="29" customWidth="1"/>
    <col min="6" max="9" width="11.421875" style="29" customWidth="1"/>
    <col min="10" max="10" width="13.28125" style="29" customWidth="1"/>
    <col min="11" max="12" width="11.421875" style="29" customWidth="1"/>
    <col min="13" max="13" width="14.140625" style="29" customWidth="1"/>
    <col min="14" max="14" width="11.421875" style="29" customWidth="1"/>
    <col min="15" max="15" width="12.421875" style="29" bestFit="1" customWidth="1"/>
    <col min="16" max="16384" width="11.421875" style="29" customWidth="1"/>
  </cols>
  <sheetData>
    <row r="1" ht="12.75">
      <c r="A1" s="28" t="s">
        <v>57</v>
      </c>
    </row>
    <row r="2" ht="12.75">
      <c r="A2" s="28" t="s">
        <v>68</v>
      </c>
    </row>
    <row r="4" spans="1:9" ht="12.75">
      <c r="A4" s="29" t="s">
        <v>43</v>
      </c>
      <c r="B4" s="29" t="s">
        <v>19</v>
      </c>
      <c r="D4" s="29" t="s">
        <v>20</v>
      </c>
      <c r="G4" s="29" t="s">
        <v>21</v>
      </c>
      <c r="I4" s="29" t="s">
        <v>22</v>
      </c>
    </row>
    <row r="5" spans="1:9" ht="12.75">
      <c r="A5" s="29" t="s">
        <v>44</v>
      </c>
      <c r="B5" s="30">
        <v>41163</v>
      </c>
      <c r="C5" s="30"/>
      <c r="D5" s="30">
        <v>41163</v>
      </c>
      <c r="E5" s="30"/>
      <c r="F5" s="30"/>
      <c r="G5" s="30">
        <v>41165</v>
      </c>
      <c r="H5" s="30"/>
      <c r="I5" s="30">
        <v>41165</v>
      </c>
    </row>
    <row r="6" spans="1:12" ht="12.75">
      <c r="A6" s="29" t="s">
        <v>45</v>
      </c>
      <c r="B6" s="29">
        <v>1</v>
      </c>
      <c r="D6" s="29">
        <v>1</v>
      </c>
      <c r="G6" s="29">
        <v>2</v>
      </c>
      <c r="I6" s="29">
        <v>2</v>
      </c>
      <c r="L6" s="31" t="s">
        <v>69</v>
      </c>
    </row>
    <row r="7" ht="12.75"/>
    <row r="8" ht="12.75"/>
    <row r="9" ht="12.75">
      <c r="A9" s="29" t="s">
        <v>46</v>
      </c>
    </row>
    <row r="10" spans="3:10" ht="12.75">
      <c r="C10" s="32" t="s">
        <v>24</v>
      </c>
      <c r="E10" s="32" t="s">
        <v>24</v>
      </c>
      <c r="H10" s="32" t="s">
        <v>24</v>
      </c>
      <c r="J10" s="32" t="s">
        <v>24</v>
      </c>
    </row>
    <row r="11" spans="1:10" ht="12.75">
      <c r="A11" s="29">
        <v>1</v>
      </c>
      <c r="B11">
        <v>100.68</v>
      </c>
      <c r="C11" s="33">
        <f>LN(B11)</f>
        <v>4.611947170267115</v>
      </c>
      <c r="D11">
        <v>99.85</v>
      </c>
      <c r="E11" s="33">
        <f>LN(D11)</f>
        <v>4.603669059861824</v>
      </c>
      <c r="G11">
        <v>100.9</v>
      </c>
      <c r="H11" s="33">
        <f aca="true" t="shared" si="0" ref="H11:H16">LN(G11)</f>
        <v>4.6141299273595635</v>
      </c>
      <c r="I11">
        <v>99.84</v>
      </c>
      <c r="J11" s="33">
        <f aca="true" t="shared" si="1" ref="J11:J16">LN(I11)</f>
        <v>4.603568904621118</v>
      </c>
    </row>
    <row r="12" spans="1:10" ht="12.75">
      <c r="A12" s="29">
        <v>2</v>
      </c>
      <c r="B12">
        <v>100.15</v>
      </c>
      <c r="C12" s="33">
        <f aca="true" t="shared" si="2" ref="C12:E16">LN(B12)</f>
        <v>4.606669062111827</v>
      </c>
      <c r="D12">
        <v>100.08</v>
      </c>
      <c r="E12" s="33">
        <f t="shared" si="2"/>
        <v>4.605969866158656</v>
      </c>
      <c r="G12">
        <v>100.32</v>
      </c>
      <c r="H12" s="33">
        <f t="shared" si="0"/>
        <v>4.608365076884611</v>
      </c>
      <c r="I12">
        <v>99.92</v>
      </c>
      <c r="J12" s="33">
        <f t="shared" si="1"/>
        <v>4.604369865817322</v>
      </c>
    </row>
    <row r="13" spans="1:10" ht="12.75">
      <c r="A13" s="29">
        <v>3</v>
      </c>
      <c r="B13">
        <v>100.91</v>
      </c>
      <c r="C13" s="33">
        <f t="shared" si="2"/>
        <v>4.614229030476437</v>
      </c>
      <c r="D13">
        <v>100.26</v>
      </c>
      <c r="E13" s="33">
        <f t="shared" si="2"/>
        <v>4.607766811835357</v>
      </c>
      <c r="G13">
        <v>100.24</v>
      </c>
      <c r="H13" s="33">
        <f t="shared" si="0"/>
        <v>4.607567310587813</v>
      </c>
      <c r="I13">
        <v>99.67</v>
      </c>
      <c r="J13" s="33">
        <f t="shared" si="1"/>
        <v>4.601864728979365</v>
      </c>
    </row>
    <row r="14" spans="1:10" ht="12.75">
      <c r="A14" s="29">
        <v>4</v>
      </c>
      <c r="B14">
        <v>100.29</v>
      </c>
      <c r="C14" s="33">
        <f t="shared" si="2"/>
        <v>4.608065989100117</v>
      </c>
      <c r="D14">
        <v>100.59</v>
      </c>
      <c r="E14" s="33">
        <f t="shared" si="2"/>
        <v>4.611052849146247</v>
      </c>
      <c r="G14">
        <v>100.45</v>
      </c>
      <c r="H14" s="33">
        <f t="shared" si="0"/>
        <v>4.609660091260944</v>
      </c>
      <c r="I14">
        <v>99.69</v>
      </c>
      <c r="J14" s="33">
        <f t="shared" si="1"/>
        <v>4.602065371034612</v>
      </c>
    </row>
    <row r="15" spans="1:10" ht="12.75">
      <c r="A15" s="29">
        <v>5</v>
      </c>
      <c r="B15">
        <v>100.47</v>
      </c>
      <c r="C15" s="33">
        <f t="shared" si="2"/>
        <v>4.609859175474223</v>
      </c>
      <c r="D15">
        <v>100.17</v>
      </c>
      <c r="E15" s="33">
        <f t="shared" si="2"/>
        <v>4.606868742623673</v>
      </c>
      <c r="G15">
        <v>99.42</v>
      </c>
      <c r="H15" s="33">
        <f t="shared" si="0"/>
        <v>4.599353300666526</v>
      </c>
      <c r="I15">
        <v>100.01</v>
      </c>
      <c r="J15" s="33">
        <f t="shared" si="1"/>
        <v>4.605270180988425</v>
      </c>
    </row>
    <row r="16" spans="1:11" ht="12.75">
      <c r="A16" s="29">
        <v>6</v>
      </c>
      <c r="B16">
        <v>100.08</v>
      </c>
      <c r="C16" s="33">
        <f t="shared" si="2"/>
        <v>4.605969866158656</v>
      </c>
      <c r="D16">
        <v>100.68</v>
      </c>
      <c r="E16" s="33">
        <f t="shared" si="2"/>
        <v>4.611947170267115</v>
      </c>
      <c r="G16">
        <v>100.25</v>
      </c>
      <c r="H16" s="33">
        <f t="shared" si="0"/>
        <v>4.6076670661866785</v>
      </c>
      <c r="I16">
        <v>100.08</v>
      </c>
      <c r="J16" s="33">
        <f t="shared" si="1"/>
        <v>4.605969866158656</v>
      </c>
      <c r="K16" s="34"/>
    </row>
    <row r="17" spans="3:10" ht="12.75">
      <c r="C17" s="32"/>
      <c r="E17" s="32"/>
      <c r="H17" s="32"/>
      <c r="J17" s="32"/>
    </row>
    <row r="18" spans="1:10" ht="12.75">
      <c r="A18" s="29" t="s">
        <v>18</v>
      </c>
      <c r="B18" s="34">
        <f>AVERAGE(B11:B16)</f>
        <v>100.43</v>
      </c>
      <c r="C18" s="35">
        <f>AVERAGE(C11:C16)</f>
        <v>4.609456715598063</v>
      </c>
      <c r="D18" s="34">
        <f>AVERAGE(D11:D16)</f>
        <v>100.27166666666666</v>
      </c>
      <c r="E18" s="35">
        <f>AVERAGE(E11:E16)</f>
        <v>4.607879083315479</v>
      </c>
      <c r="G18" s="34">
        <f>AVERAGE(G11:G16)</f>
        <v>100.26333333333332</v>
      </c>
      <c r="H18" s="35">
        <f>AVERAGE(H11:H16)</f>
        <v>4.607790462157689</v>
      </c>
      <c r="I18" s="34">
        <f>AVERAGE(I11:I16)</f>
        <v>99.86833333333334</v>
      </c>
      <c r="J18" s="35">
        <f>AVERAGE(J11:J16)</f>
        <v>4.603851486266583</v>
      </c>
    </row>
    <row r="19" spans="1:10" ht="12.75">
      <c r="A19" s="28" t="s">
        <v>23</v>
      </c>
      <c r="B19" s="34">
        <f>_xlfn.STDEV.S(B11:B16)</f>
        <v>0.3209361307176231</v>
      </c>
      <c r="C19" s="36">
        <f>_xlfn.STDEV.S(C11:C16)</f>
        <v>0.0031938246311712186</v>
      </c>
      <c r="D19" s="34">
        <f>_xlfn.STDEV.S(D11:D16)</f>
        <v>0.314032906980573</v>
      </c>
      <c r="E19" s="36">
        <f>_xlfn.STDEV.S(E11:E16)</f>
        <v>0.0031312911658170207</v>
      </c>
      <c r="G19" s="34">
        <f>_xlfn.STDEV.S(G11:G16)</f>
        <v>0.48069394282294386</v>
      </c>
      <c r="H19" s="36">
        <f>_xlfn.STDEV.S(H11:H16)</f>
        <v>0.004801358793730601</v>
      </c>
      <c r="I19" s="34">
        <f>_xlfn.STDEV.S(I11:I16)</f>
        <v>0.1670229525145177</v>
      </c>
      <c r="J19" s="36">
        <f>_xlfn.STDEV.S(J11:J16)</f>
        <v>0.0016724957378774646</v>
      </c>
    </row>
    <row r="20" spans="1:10" ht="12.75">
      <c r="A20" s="29" t="s">
        <v>47</v>
      </c>
      <c r="B20" s="29">
        <f>VAR(B11:B16)</f>
        <v>0.10299999999999927</v>
      </c>
      <c r="C20" s="37">
        <f>VAR(C11:C16)</f>
        <v>1.0200515774675972E-05</v>
      </c>
      <c r="D20" s="29">
        <f>VAR(D11:D16)</f>
        <v>0.09861666666666921</v>
      </c>
      <c r="E20" s="37">
        <f>VAR(E11:E16)</f>
        <v>9.804984365123718E-06</v>
      </c>
      <c r="G20" s="29">
        <f>VAR(G11:G16)</f>
        <v>0.23106666666666764</v>
      </c>
      <c r="H20" s="37">
        <f>VAR(H11:H16)</f>
        <v>2.3053046266134168E-05</v>
      </c>
      <c r="I20" s="29">
        <f>VAR(I11:I16)</f>
        <v>0.027896666666666837</v>
      </c>
      <c r="J20" s="37">
        <f>VAR(J11:J16)</f>
        <v>2.797241993218285E-06</v>
      </c>
    </row>
    <row r="21" spans="1:10" ht="12.75">
      <c r="A21" s="29" t="s">
        <v>17</v>
      </c>
      <c r="B21" s="38">
        <f>SQRT(B20)/B18</f>
        <v>0.0031956201405717722</v>
      </c>
      <c r="C21" s="39">
        <f>SQRT(C20)/C18</f>
        <v>0.0006928852635416991</v>
      </c>
      <c r="D21" s="38">
        <f>SQRT(D20)/D18</f>
        <v>0.0031318209562080316</v>
      </c>
      <c r="E21" s="39">
        <f>SQRT(E20)/E18</f>
        <v>0.0006795515049765547</v>
      </c>
      <c r="G21" s="38">
        <f>SQRT(G20)/G18</f>
        <v>0.0047943144003086266</v>
      </c>
      <c r="H21" s="39">
        <f>SQRT(H20)/H18</f>
        <v>0.0010420089266564153</v>
      </c>
      <c r="I21" s="38">
        <f>SQRT(I20)/I18</f>
        <v>0.0016724315600325531</v>
      </c>
      <c r="J21" s="39">
        <f>SQRT(J20)/J18</f>
        <v>0.0003632818614732829</v>
      </c>
    </row>
    <row r="23" spans="1:11" ht="12.75">
      <c r="A23" s="29" t="s">
        <v>77</v>
      </c>
      <c r="I23" s="63" t="s">
        <v>78</v>
      </c>
      <c r="J23" s="32"/>
      <c r="K23" s="32"/>
    </row>
    <row r="24" spans="1:14" ht="12.75">
      <c r="A24" s="28" t="s">
        <v>85</v>
      </c>
      <c r="C24" s="40">
        <f>SQRT(B19^2/(4*6)+D19^2/(4*6)+G19^2/(4*6)+I19^2/(4*6))</f>
        <v>0.13853098329736005</v>
      </c>
      <c r="E24" s="28" t="s">
        <v>86</v>
      </c>
      <c r="F24" s="34">
        <f>(B18+D18)/2-(G18+I18)/2</f>
        <v>0.2849999999999966</v>
      </c>
      <c r="I24" s="41" t="s">
        <v>85</v>
      </c>
      <c r="K24" s="32">
        <f>SQRT(C20/(4*6)+E20/(4*6)+H20/(4*6)+J20/(4*6))</f>
        <v>0.0013822654773829348</v>
      </c>
      <c r="M24" s="28" t="s">
        <v>86</v>
      </c>
      <c r="N24" s="35">
        <f>(C18+E18)/2-(H18+J18)/2</f>
        <v>0.0028469252446345905</v>
      </c>
    </row>
    <row r="25" spans="1:15" ht="12.75">
      <c r="A25" s="28" t="s">
        <v>83</v>
      </c>
      <c r="C25" s="29">
        <f>E25/G25</f>
        <v>14.236359944519394</v>
      </c>
      <c r="D25" s="31" t="s">
        <v>70</v>
      </c>
      <c r="E25" s="31">
        <f>(B19^2/(4*6)+D19^2/(4*6)+G19^2/(4*6)+I19^2/(4*6))^2</f>
        <v>0.0003682880840277823</v>
      </c>
      <c r="F25" s="42" t="s">
        <v>71</v>
      </c>
      <c r="G25" s="29">
        <f>B19^4/(16*6^2*5)+D19^4/(16*6^2*5)+G19^4/(16*6^2*5)+I19^4/(16*6^2*5)</f>
        <v>2.5869540069444724E-05</v>
      </c>
      <c r="I25" s="41" t="s">
        <v>87</v>
      </c>
      <c r="K25" s="32">
        <f>M25/O25</f>
        <v>14.218249995526532</v>
      </c>
      <c r="L25" s="31" t="s">
        <v>70</v>
      </c>
      <c r="M25" s="43">
        <f>(C19^2/(4*6)+E19^2/(4*6)+H19^2/(4*6)+J19^2/(4*6))^2</f>
        <v>3.650613419631624E-12</v>
      </c>
      <c r="N25" s="42" t="s">
        <v>71</v>
      </c>
      <c r="O25" s="32">
        <f>C19^4/(16*6^2*5)+E19^4/(16*6^2*5)+H19^4/(16*6^2*5)+J19^4/(16*6^2*5)</f>
        <v>2.5675546714822227E-13</v>
      </c>
    </row>
    <row r="26" spans="1:11" ht="12.75">
      <c r="A26" s="28" t="s">
        <v>25</v>
      </c>
      <c r="C26" s="29">
        <f>TINV(0.1,C25)</f>
        <v>1.7613101357748921</v>
      </c>
      <c r="I26" s="41" t="s">
        <v>25</v>
      </c>
      <c r="K26" s="32">
        <f>TINV(0.1,K25)</f>
        <v>1.7613101357748921</v>
      </c>
    </row>
    <row r="27" ht="12.75">
      <c r="I27" s="44"/>
    </row>
    <row r="28" spans="1:11" ht="12.75">
      <c r="A28" s="28" t="s">
        <v>26</v>
      </c>
      <c r="C28" s="29">
        <f>F24-C26*C24</f>
        <v>0.04100397499949404</v>
      </c>
      <c r="I28" s="45" t="s">
        <v>28</v>
      </c>
      <c r="K28" s="32">
        <f>N24-K26*K24</f>
        <v>0.0004123270489883074</v>
      </c>
    </row>
    <row r="29" spans="1:11" ht="12.75">
      <c r="A29" s="28" t="s">
        <v>27</v>
      </c>
      <c r="C29" s="29">
        <f>F24+C26*C24</f>
        <v>0.5289960250004991</v>
      </c>
      <c r="I29" s="45" t="s">
        <v>29</v>
      </c>
      <c r="K29" s="32">
        <f>N24+K26*K24</f>
        <v>0.005281523440280874</v>
      </c>
    </row>
    <row r="30" ht="12.75">
      <c r="I30" s="44"/>
    </row>
    <row r="31" spans="9:20" ht="12.75">
      <c r="I31" s="41" t="s">
        <v>26</v>
      </c>
      <c r="K31" s="32">
        <f>100*(EXP(K28)-1)</f>
        <v>0.04124120674706688</v>
      </c>
      <c r="T31" s="28"/>
    </row>
    <row r="32" spans="1:13" ht="12.75">
      <c r="A32" s="31"/>
      <c r="I32" s="41" t="s">
        <v>27</v>
      </c>
      <c r="K32" s="32">
        <f>100*(EXP(K29)-1)</f>
        <v>0.5295495271894879</v>
      </c>
      <c r="M32" s="46" t="s">
        <v>75</v>
      </c>
    </row>
    <row r="33" ht="12.75">
      <c r="T33" s="28"/>
    </row>
    <row r="34" ht="12.75">
      <c r="T34" s="28"/>
    </row>
    <row r="36" spans="3:20" ht="12.75">
      <c r="C36" s="29" t="s">
        <v>59</v>
      </c>
      <c r="H36" s="29" t="s">
        <v>62</v>
      </c>
      <c r="T36" s="28"/>
    </row>
    <row r="37" spans="3:20" ht="12.75">
      <c r="C37" s="29">
        <v>2.5</v>
      </c>
      <c r="G37" s="29" t="s">
        <v>60</v>
      </c>
      <c r="H37" s="29">
        <f>-C37</f>
        <v>-2.5</v>
      </c>
      <c r="I37" s="29">
        <f>C37</f>
        <v>2.5</v>
      </c>
      <c r="J37" s="29">
        <f>C28</f>
        <v>0.04100397499949404</v>
      </c>
      <c r="K37" s="29">
        <f>C29</f>
        <v>0.5289960250004991</v>
      </c>
      <c r="T37" s="28"/>
    </row>
    <row r="38" spans="7:11" ht="12.75">
      <c r="G38" s="29" t="s">
        <v>61</v>
      </c>
      <c r="H38" s="29">
        <v>1</v>
      </c>
      <c r="I38" s="29">
        <v>1</v>
      </c>
      <c r="J38" s="29">
        <v>1.5</v>
      </c>
      <c r="K38" s="29">
        <v>1.5</v>
      </c>
    </row>
    <row r="49" ht="12.75">
      <c r="M49" s="46" t="s">
        <v>76</v>
      </c>
    </row>
    <row r="50" ht="12.75">
      <c r="H50" s="29" t="s">
        <v>62</v>
      </c>
    </row>
    <row r="51" spans="8:11" ht="12.75">
      <c r="H51" s="29">
        <v>-2.5</v>
      </c>
      <c r="I51" s="29">
        <v>2.5</v>
      </c>
      <c r="J51" s="32">
        <f>K31</f>
        <v>0.04124120674706688</v>
      </c>
      <c r="K51" s="32">
        <f>K32</f>
        <v>0.5295495271894879</v>
      </c>
    </row>
    <row r="52" spans="8:11" ht="12.75">
      <c r="H52" s="29">
        <v>1</v>
      </c>
      <c r="I52" s="29">
        <v>1</v>
      </c>
      <c r="J52" s="29">
        <v>1.5</v>
      </c>
      <c r="K52" s="29">
        <v>1.5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Wätzig</dc:creator>
  <cp:keywords/>
  <dc:description/>
  <cp:lastModifiedBy>Prof. Dr. Hermann Wä</cp:lastModifiedBy>
  <dcterms:created xsi:type="dcterms:W3CDTF">1999-02-05T16:17:14Z</dcterms:created>
  <dcterms:modified xsi:type="dcterms:W3CDTF">2013-06-11T16:44:27Z</dcterms:modified>
  <cp:category/>
  <cp:version/>
  <cp:contentType/>
  <cp:contentStatus/>
</cp:coreProperties>
</file>